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'лист1'!$A$1:$AN$473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'лист1'!$AR$1:$AR$200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<sst xmlns="http://schemas.openxmlformats.org/spreadsheetml/2006/main" count="1085" uniqueCount="569">
  <si>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</si>
  <si>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</si>
  <si>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</si>
  <si>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</si>
  <si>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</si>
  <si>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</si>
  <si>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</si>
  <si>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</si>
  <si>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</si>
  <si>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</si>
  <si>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</si>
  <si>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</si>
  <si>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</si>
  <si>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</si>
  <si>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</si>
  <si>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</si>
  <si>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</si>
  <si>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</si>
  <si>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</si>
  <si>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</si>
  <si>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</si>
  <si>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</si>
  <si>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</si>
  <si>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</si>
  <si>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</si>
  <si>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</si>
  <si>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</si>
  <si>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</si>
  <si>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</si>
  <si>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</si>
  <si>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</si>
  <si>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</si>
  <si>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</si>
  <si>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</si>
  <si>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</si>
  <si>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</si>
  <si>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</si>
  <si>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</si>
  <si>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</si>
  <si>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</si>
  <si>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</si>
  <si>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</si>
  <si>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</si>
  <si>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</si>
  <si>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</si>
  <si>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</si>
  <si>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</si>
  <si>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</si>
  <si>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</si>
  <si>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</si>
  <si>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</si>
  <si>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</si>
  <si>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</si>
  <si>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</si>
  <si>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</si>
  <si>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</si>
  <si>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</si>
  <si>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</si>
  <si>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</si>
  <si>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</si>
  <si>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</si>
  <si>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</si>
  <si>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</si>
  <si>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</si>
  <si>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</si>
  <si>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</si>
  <si>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</si>
  <si>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</si>
  <si>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</si>
  <si>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</si>
  <si>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</si>
  <si>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</si>
  <si>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</si>
  <si>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</si>
  <si>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</si>
  <si>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</si>
  <si>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</si>
  <si>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</si>
  <si>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</si>
  <si>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</si>
  <si>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</si>
  <si>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</si>
  <si>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</si>
  <si>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</si>
  <si>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</si>
  <si>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</si>
  <si>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</si>
  <si>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</si>
  <si>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</si>
  <si>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</si>
  <si>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</si>
  <si>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</si>
  <si>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</si>
  <si>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</si>
  <si>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</si>
  <si>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</si>
  <si>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</si>
  <si>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</si>
  <si>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</si>
  <si>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</si>
  <si>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</si>
  <si>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</si>
  <si>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ЦЕНА хліб житній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</si>
  <si>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</si>
  <si>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</si>
  <si>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</si>
  <si>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</si>
  <si>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</si>
  <si>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</si>
  <si>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</si>
  <si>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</si>
  <si>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</si>
  <si>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</si>
  <si>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</si>
  <si>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</si>
  <si>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</si>
  <si>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</si>
  <si>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</si>
  <si>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</si>
  <si>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</si>
  <si>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</si>
  <si>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</si>
  <si>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</si>
  <si>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</si>
  <si>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</si>
  <si>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</si>
  <si>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</si>
  <si>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</si>
  <si>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</si>
  <si>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</si>
  <si>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</si>
  <si>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</si>
  <si>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</si>
  <si>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</si>
  <si>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</si>
  <si>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</si>
  <si>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</si>
  <si>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</si>
  <si>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</si>
  <si>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</si>
  <si>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</si>
  <si>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</si>
  <si>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</si>
  <si>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</si>
  <si>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</si>
  <si>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</si>
  <si>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</si>
  <si>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</si>
  <si>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</si>
  <si>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</si>
  <si>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</si>
  <si>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</si>
  <si>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</si>
  <si>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</si>
  <si>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</si>
  <si>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</si>
  <si>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</si>
  <si>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</si>
  <si>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</si>
  <si>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</si>
  <si>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</si>
  <si>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</si>
  <si>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</si>
  <si>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</si>
  <si>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</si>
  <si>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</si>
  <si>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</si>
  <si>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</si>
  <si>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</si>
  <si>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</si>
  <si>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</si>
  <si>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</si>
  <si>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</si>
  <si>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</si>
  <si>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</si>
  <si>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</si>
  <si>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</si>
  <si>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</si>
  <si>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</si>
  <si>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</si>
  <si>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</si>
  <si>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</si>
  <si>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</si>
  <si>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</si>
  <si>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</si>
  <si>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</si>
  <si>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</si>
  <si>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</si>
  <si>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</si>
  <si>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</si>
  <si>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</si>
  <si>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</si>
  <si>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</si>
  <si>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</si>
  <si>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</si>
  <si>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</si>
  <si>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</si>
  <si>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</si>
  <si>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</si>
  <si>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</si>
  <si>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</si>
  <si>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</si>
  <si>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</si>
  <si>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</si>
  <si>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</si>
  <si>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</si>
  <si>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</si>
  <si>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</si>
  <si>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</si>
  <si>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</si>
  <si>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</si>
  <si>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</si>
  <si>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</si>
  <si>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</si>
  <si>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</si>
  <si>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</si>
  <si>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</si>
  <si>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</si>
  <si>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</si>
  <si>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</si>
  <si>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</si>
  <si>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</si>
  <si>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</si>
  <si>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</si>
  <si>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</si>
  <si>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</si>
  <si>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</si>
  <si>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</si>
  <si>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</si>
  <si>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</si>
  <si>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</si>
  <si>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</si>
  <si>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</si>
  <si>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</si>
  <si>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</si>
  <si>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</si>
  <si>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</si>
  <si>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</si>
  <si>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</si>
  <si>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</si>
  <si>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</si>
  <si>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</si>
  <si>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</si>
  <si>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</si>
  <si>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</si>
  <si>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</si>
  <si>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</si>
  <si>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</si>
  <si>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</si>
  <si>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</si>
  <si>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</si>
  <si>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</si>
  <si>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</si>
  <si>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</si>
  <si>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</si>
  <si>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</si>
  <si>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</si>
  <si>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</si>
  <si>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</si>
  <si>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</si>
  <si>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</si>
  <si>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</si>
  <si>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</si>
  <si>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</si>
  <si>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</si>
  <si>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</si>
  <si>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</si>
  <si>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</si>
  <si>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</si>
  <si>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</si>
  <si>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</si>
  <si>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</si>
  <si>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</si>
  <si>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</si>
  <si>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</si>
  <si>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</si>
  <si>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</si>
  <si>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</si>
  <si>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</si>
  <si>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</si>
  <si>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</si>
  <si>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</si>
  <si>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</si>
  <si>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</si>
  <si>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</si>
  <si>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</si>
  <si>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</si>
  <si>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</si>
  <si>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</si>
  <si>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</si>
  <si>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</si>
  <si>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</si>
  <si>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</si>
  <si>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</si>
  <si>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</si>
  <si>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</si>
  <si>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</si>
  <si>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</si>
  <si>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</si>
  <si>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</si>
  <si>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</si>
  <si>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</si>
  <si>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</si>
  <si>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</si>
  <si>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</si>
  <si>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</si>
  <si>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</si>
  <si>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</si>
  <si>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</si>
  <si>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</si>
  <si>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</si>
  <si>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</si>
  <si>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</si>
  <si>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</si>
  <si>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</si>
  <si>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</si>
  <si>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</si>
  <si>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</si>
  <si>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</si>
  <si>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</si>
  <si>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</si>
  <si>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</si>
  <si>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</si>
  <si>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</si>
  <si>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</si>
  <si>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</si>
  <si>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</si>
  <si>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</si>
  <si>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</si>
  <si>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</si>
  <si>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</si>
  <si>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</si>
  <si>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</si>
  <si>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</si>
  <si>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</si>
  <si>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</si>
  <si>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</si>
  <si>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</si>
  <si>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</si>
  <si>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</si>
  <si>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</si>
  <si>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</si>
  <si>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</si>
  <si>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</si>
  <si>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</si>
  <si>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</si>
  <si>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</si>
  <si>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</si>
  <si>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</si>
  <si>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</si>
  <si>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</si>
  <si>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</si>
  <si>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</si>
  <si>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</si>
  <si>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</si>
  <si>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</si>
  <si>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</si>
  <si>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</si>
  <si>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</si>
  <si>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</si>
  <si>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</si>
  <si>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</si>
  <si>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</si>
  <si>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</si>
  <si>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</si>
  <si>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</si>
  <si>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</si>
  <si>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</si>
  <si>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</si>
  <si>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</si>
  <si>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</si>
  <si>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</si>
  <si>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</si>
  <si>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</si>
  <si>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</si>
  <si>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</si>
  <si>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</si>
  <si>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</si>
  <si>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</si>
  <si>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</si>
  <si>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</si>
  <si>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</si>
  <si>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</si>
  <si>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</si>
  <si>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</si>
  <si>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</si>
  <si>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</si>
  <si>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</si>
  <si>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</si>
  <si>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</si>
  <si>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</si>
  <si>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</si>
  <si>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</si>
  <si>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</si>
  <si>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</si>
  <si>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</si>
  <si>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</si>
  <si>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</si>
  <si>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</si>
  <si>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</si>
  <si>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</si>
  <si>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</si>
  <si>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</si>
  <si>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</si>
  <si>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</si>
  <si>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</si>
  <si>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</si>
  <si>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</si>
  <si>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</si>
  <si>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</si>
  <si>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</si>
  <si>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</si>
  <si>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</si>
  <si>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</si>
  <si>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</si>
  <si>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</si>
  <si>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хліб житній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</si>
  <si>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</si>
  <si>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</si>
  <si>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</si>
  <si>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</si>
  <si>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</si>
  <si>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</si>
  <si>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</si>
  <si>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</si>
  <si>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</si>
  <si>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</si>
  <si>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</si>
  <si>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</si>
  <si>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</si>
  <si>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</si>
  <si>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</si>
  <si>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</si>
  <si>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</si>
  <si>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</si>
  <si>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</si>
  <si>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</si>
  <si>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</si>
  <si>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</si>
  <si>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</si>
  <si>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</si>
  <si>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</si>
  <si>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</si>
  <si>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</si>
  <si>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</si>
  <si>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</si>
  <si>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</si>
  <si>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</si>
  <si>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</si>
  <si>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</si>
  <si>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</si>
  <si>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</si>
  <si>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</si>
  <si>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</si>
  <si>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</si>
  <si>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</si>
  <si>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</si>
  <si>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</si>
  <si>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</si>
  <si>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</si>
  <si>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</si>
  <si>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</si>
  <si>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</si>
  <si>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</si>
  <si>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</si>
  <si>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</si>
  <si>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</si>
  <si>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</si>
  <si>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</si>
  <si>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</si>
  <si>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</si>
  <si>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</si>
  <si>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</si>
  <si>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</si>
  <si>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</si>
  <si>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</si>
  <si>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</si>
  <si>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</si>
  <si>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</si>
  <si>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</si>
  <si>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</si>
  <si>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</si>
  <si>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</si>
  <si>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</si>
  <si>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</si>
  <si>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їгарбуз свіжий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</si>
  <si>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</si>
  <si>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</si>
  <si>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</si>
  <si>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</si>
  <si>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</si>
  <si>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</si>
  <si>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</si>
  <si>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</si>
  <si>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</si>
  <si>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</si>
  <si>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</si>
  <si>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</si>
  <si>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</si>
  <si>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</si>
  <si>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Последняя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</si>
  <si>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</si>
  <si>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</si>
  <si>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</si>
  <si>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</si>
  <si>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</si>
  <si>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</si>
  <si>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</si>
  <si>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</si>
  <si>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</si>
  <si>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</si>
  <si>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</si>
  <si>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</si>
  <si>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</si>
  <si>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</si>
  <si>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35/50</t>
  </si>
  <si>
    <t>манний пудинг 2 штуки</t>
  </si>
  <si>
    <t>рис з кмином немає</t>
  </si>
  <si>
    <t>рис розсипчатий з орегано немає</t>
  </si>
  <si>
    <t>салат з капусти з ароматною олією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</si>
  <si>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</si>
  <si>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</si>
  <si>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</si>
  <si>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</si>
  <si>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</si>
  <si>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63/90</t>
  </si>
  <si>
    <t>120/50</t>
  </si>
  <si>
    <t>курка запечена  в соусі "Імбирному"</t>
  </si>
  <si>
    <t>в страву "сік" входить томатний сік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</si>
  <si>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</t>
    </r>
    <r>
      <rPr>
        <u val="single"/>
        <sz val="16"/>
        <rFont val="Arial Cyr"/>
        <family val="2"/>
      </rPr>
      <t xml:space="preserve">                          Г.Колько                                                       .</t>
    </r>
  </si>
  <si>
    <t>бублики</t>
  </si>
  <si>
    <t>ковбаса варена</t>
  </si>
  <si>
    <t>консерва рибна</t>
  </si>
  <si>
    <t>масло топлене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</si>
  <si>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</si>
  <si>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</si>
  <si>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</si>
  <si>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</si>
  <si>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</si>
  <si>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</si>
  <si>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кавовий напій</t>
  </si>
  <si>
    <t>завтрак 1</t>
  </si>
  <si>
    <t>завтрак 2</t>
  </si>
  <si>
    <t>курчата</t>
  </si>
  <si>
    <t>кури</t>
  </si>
  <si>
    <t>вода питна</t>
  </si>
  <si>
    <t>соус гірчиця</t>
  </si>
  <si>
    <t>курчата в сметані</t>
  </si>
  <si>
    <t>кури та стегенця курячі відварні</t>
  </si>
  <si>
    <t>куряче стегно в гірчичному соусі</t>
  </si>
  <si>
    <t>печеня по домашньому з куркою</t>
  </si>
  <si>
    <t>ватрушка із сиром</t>
  </si>
  <si>
    <t>68,7/20</t>
  </si>
  <si>
    <t>суп селянський</t>
  </si>
  <si>
    <t>старші 14р і більше</t>
  </si>
  <si>
    <t>чай  каркаде</t>
  </si>
  <si>
    <t>запіканка рисова</t>
  </si>
  <si>
    <t>борщ український</t>
  </si>
  <si>
    <t>плов із свинини</t>
  </si>
  <si>
    <t xml:space="preserve">     на  "18" лютого  2022 р.</t>
  </si>
  <si>
    <r>
      <t>"</t>
    </r>
    <r>
      <rPr>
        <u val="single"/>
        <sz val="20"/>
        <rFont val="Arial Cyr"/>
        <family val="0"/>
      </rPr>
      <t xml:space="preserve">      17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</si>
  <si>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яйце варене</t>
  </si>
  <si>
    <t>сир твердий</t>
  </si>
  <si>
    <t>курка ,тушкована в соусі гуляш з кмином</t>
  </si>
  <si>
    <t>каша ячмінна розсипчаста</t>
  </si>
  <si>
    <t>каша пшоняня розсипчаста</t>
  </si>
  <si>
    <t>напій із шипшини</t>
  </si>
  <si>
    <t>каша перлова розсипчаста</t>
  </si>
  <si>
    <t>сіль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</si>
</sst>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24" fillId="0" borderId="18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0.emf" /><Relationship Id="rId3" Type="http://schemas.openxmlformats.org/officeDocument/2006/relationships/image" Target="../media/image39.emf" /><Relationship Id="rId4" Type="http://schemas.openxmlformats.org/officeDocument/2006/relationships/image" Target="../media/image29.emf" /><Relationship Id="rId5" Type="http://schemas.openxmlformats.org/officeDocument/2006/relationships/image" Target="../media/image38.emf" /><Relationship Id="rId6" Type="http://schemas.openxmlformats.org/officeDocument/2006/relationships/image" Target="../media/image27.emf" /><Relationship Id="rId7" Type="http://schemas.openxmlformats.org/officeDocument/2006/relationships/image" Target="../media/image36.emf" /><Relationship Id="rId8" Type="http://schemas.openxmlformats.org/officeDocument/2006/relationships/image" Target="../media/image20.emf" /><Relationship Id="rId9" Type="http://schemas.openxmlformats.org/officeDocument/2006/relationships/image" Target="../media/image53.emf" /><Relationship Id="rId10" Type="http://schemas.openxmlformats.org/officeDocument/2006/relationships/image" Target="../media/image35.emf" /><Relationship Id="rId11" Type="http://schemas.openxmlformats.org/officeDocument/2006/relationships/image" Target="../media/image52.emf" /><Relationship Id="rId12" Type="http://schemas.openxmlformats.org/officeDocument/2006/relationships/image" Target="../media/image51.emf" /><Relationship Id="rId13" Type="http://schemas.openxmlformats.org/officeDocument/2006/relationships/image" Target="../media/image37.emf" /><Relationship Id="rId14" Type="http://schemas.openxmlformats.org/officeDocument/2006/relationships/image" Target="../media/image50.emf" /><Relationship Id="rId15" Type="http://schemas.openxmlformats.org/officeDocument/2006/relationships/image" Target="../media/image49.emf" /><Relationship Id="rId16" Type="http://schemas.openxmlformats.org/officeDocument/2006/relationships/image" Target="../media/image48.emf" /><Relationship Id="rId17" Type="http://schemas.openxmlformats.org/officeDocument/2006/relationships/image" Target="../media/image19.emf" /><Relationship Id="rId18" Type="http://schemas.openxmlformats.org/officeDocument/2006/relationships/image" Target="../media/image47.emf" /><Relationship Id="rId19" Type="http://schemas.openxmlformats.org/officeDocument/2006/relationships/image" Target="../media/image46.emf" /><Relationship Id="rId20" Type="http://schemas.openxmlformats.org/officeDocument/2006/relationships/image" Target="../media/image45.emf" /><Relationship Id="rId21" Type="http://schemas.openxmlformats.org/officeDocument/2006/relationships/image" Target="../media/image44.emf" /><Relationship Id="rId22" Type="http://schemas.openxmlformats.org/officeDocument/2006/relationships/image" Target="../media/image26.emf" /><Relationship Id="rId23" Type="http://schemas.openxmlformats.org/officeDocument/2006/relationships/image" Target="../media/image43.emf" /><Relationship Id="rId24" Type="http://schemas.openxmlformats.org/officeDocument/2006/relationships/image" Target="../media/image32.emf" /><Relationship Id="rId25" Type="http://schemas.openxmlformats.org/officeDocument/2006/relationships/image" Target="../media/image42.emf" /><Relationship Id="rId26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053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171450</xdr:rowOff>
    </xdr:from>
    <xdr:to>
      <xdr:col>35</xdr:col>
      <xdr:colOff>495300</xdr:colOff>
      <xdr:row>7</xdr:row>
      <xdr:rowOff>285750</xdr:rowOff>
    </xdr:to>
    <xdr:pic>
      <xdr:nvPicPr>
        <xdr:cNvPr id="4" name="Picture 2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569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30" zoomScaleNormal="50" zoomScaleSheetLayoutView="30" zoomScalePageLayoutView="19" workbookViewId="0" topLeftCell="L1">
      <selection activeCell="AH1" sqref="AH1:AN1"/>
    </sheetView>
  </sheetViews>
  <sheetFormatPr defaultColWidth="9.140625" defaultRowHeight="12.75"/>
  <cols>
    <col min="1" max="22" width="15.7109375" style="0" customWidth="1"/>
    <col min="23" max="38" width="17.7109375" style="0" customWidth="1"/>
    <col min="39" max="39" width="18.7109375" style="0" customWidth="1"/>
    <col min="40" max="40" width="19.4218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231" t="s">
        <v>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8"/>
      <c r="U1" s="172" t="s">
        <v>70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3"/>
      <c r="AG1" s="40"/>
      <c r="AH1" s="168" t="s">
        <v>80</v>
      </c>
      <c r="AI1" s="168"/>
      <c r="AJ1" s="168"/>
      <c r="AK1" s="168"/>
      <c r="AL1" s="168"/>
      <c r="AM1" s="168"/>
      <c r="AN1" s="168"/>
      <c r="AQ1" s="54"/>
      <c r="AR1" s="54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267</v>
      </c>
      <c r="FK1" s="54" t="s">
        <v>302</v>
      </c>
      <c r="FL1" s="54" t="s">
        <v>306</v>
      </c>
      <c r="FM1" s="54" t="s">
        <v>310</v>
      </c>
    </row>
    <row r="2" spans="1:129" ht="21" customHeight="1">
      <c r="A2" s="233" t="s">
        <v>68</v>
      </c>
      <c r="B2" s="234"/>
      <c r="C2" s="176" t="s">
        <v>69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9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5"/>
      <c r="AG2" s="169" t="s">
        <v>81</v>
      </c>
      <c r="AH2" s="170"/>
      <c r="AI2" s="170"/>
      <c r="AJ2" s="170"/>
      <c r="AK2" s="170"/>
      <c r="AL2" s="170"/>
      <c r="AM2" s="170"/>
      <c r="AN2" s="170"/>
      <c r="AQ2" s="55"/>
      <c r="AR2" s="54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235"/>
      <c r="B3" s="23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9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5"/>
      <c r="AG3" s="5"/>
      <c r="AH3" s="5"/>
      <c r="AI3" s="5"/>
      <c r="AJ3" s="5"/>
      <c r="AK3" s="16"/>
      <c r="AL3" s="16"/>
      <c r="AQ3" s="55"/>
      <c r="AR3" s="54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235"/>
      <c r="B4" s="236"/>
      <c r="C4" s="176"/>
      <c r="D4" s="176"/>
      <c r="E4" s="176"/>
      <c r="F4" s="176" t="s">
        <v>91</v>
      </c>
      <c r="G4" s="176"/>
      <c r="H4" s="176" t="s">
        <v>92</v>
      </c>
      <c r="I4" s="176"/>
      <c r="J4" s="176"/>
      <c r="K4" s="176" t="s">
        <v>93</v>
      </c>
      <c r="L4" s="176"/>
      <c r="M4" s="176"/>
      <c r="N4" s="176" t="s">
        <v>94</v>
      </c>
      <c r="O4" s="176"/>
      <c r="P4" s="176"/>
      <c r="Q4" s="176"/>
      <c r="R4" s="176"/>
      <c r="S4" s="176"/>
      <c r="T4" s="5"/>
      <c r="U4" s="171" t="s">
        <v>71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3" t="s">
        <v>529</v>
      </c>
      <c r="AG4" s="173"/>
      <c r="AH4" s="173"/>
      <c r="AI4" s="173"/>
      <c r="AJ4" s="173"/>
      <c r="AK4" s="173"/>
      <c r="AL4" s="173"/>
      <c r="AM4" s="173"/>
      <c r="AN4" s="173"/>
      <c r="AQ4" s="55"/>
      <c r="AR4" s="5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237"/>
      <c r="B5" s="238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5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3"/>
      <c r="AG5" s="173"/>
      <c r="AH5" s="173"/>
      <c r="AI5" s="173"/>
      <c r="AJ5" s="173"/>
      <c r="AK5" s="173"/>
      <c r="AL5" s="173"/>
      <c r="AM5" s="173"/>
      <c r="AN5" s="173"/>
      <c r="AQ5" s="55"/>
      <c r="AR5" s="54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239"/>
      <c r="B6" s="240"/>
      <c r="C6" s="246" t="s">
        <v>88</v>
      </c>
      <c r="D6" s="246"/>
      <c r="E6" s="246"/>
      <c r="F6" s="197">
        <v>22</v>
      </c>
      <c r="G6" s="19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5"/>
      <c r="U6" s="171" t="s">
        <v>559</v>
      </c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5"/>
      <c r="AG6" s="5"/>
      <c r="AH6" s="17"/>
      <c r="AI6" s="5"/>
      <c r="AJ6" s="4"/>
      <c r="AK6" s="16"/>
      <c r="AL6" s="16"/>
      <c r="AQ6" s="55"/>
      <c r="AR6" s="54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241"/>
      <c r="B7" s="242"/>
      <c r="C7" s="246"/>
      <c r="D7" s="246"/>
      <c r="E7" s="246"/>
      <c r="F7" s="199"/>
      <c r="G7" s="200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5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211" t="s">
        <v>560</v>
      </c>
      <c r="AG7" s="211"/>
      <c r="AH7" s="211"/>
      <c r="AI7" s="211"/>
      <c r="AJ7" s="211"/>
      <c r="AK7" s="211"/>
      <c r="AL7" s="211"/>
      <c r="AM7" s="211"/>
      <c r="AN7" s="211"/>
      <c r="AQ7" s="55"/>
      <c r="AR7" s="54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241"/>
      <c r="B8" s="242"/>
      <c r="C8" s="246"/>
      <c r="D8" s="246"/>
      <c r="E8" s="246"/>
      <c r="F8" s="201"/>
      <c r="G8" s="202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 s="54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241"/>
      <c r="B9" s="242"/>
      <c r="C9" s="177" t="s">
        <v>89</v>
      </c>
      <c r="D9" s="177"/>
      <c r="E9" s="177"/>
      <c r="F9" s="178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3"/>
      <c r="U9" s="13"/>
      <c r="V9" s="13"/>
      <c r="W9" s="13"/>
      <c r="X9" s="248" t="s">
        <v>554</v>
      </c>
      <c r="Y9" s="248"/>
      <c r="Z9" s="248"/>
      <c r="AA9" s="248"/>
      <c r="AB9" s="248"/>
      <c r="AC9" s="248"/>
      <c r="AD9" s="5"/>
      <c r="AE9" s="247" t="s">
        <v>86</v>
      </c>
      <c r="AF9" s="247"/>
      <c r="AG9" s="247" t="s">
        <v>85</v>
      </c>
      <c r="AH9" s="247"/>
      <c r="AI9" s="247" t="s">
        <v>84</v>
      </c>
      <c r="AJ9" s="247"/>
      <c r="AK9" s="247" t="s">
        <v>83</v>
      </c>
      <c r="AL9" s="247"/>
      <c r="AM9" s="247" t="s">
        <v>82</v>
      </c>
      <c r="AN9" s="247"/>
      <c r="AQ9" s="55"/>
      <c r="AR9" s="54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241"/>
      <c r="B10" s="242"/>
      <c r="C10" s="177"/>
      <c r="D10" s="177"/>
      <c r="E10" s="177"/>
      <c r="F10" s="178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3"/>
      <c r="U10" s="13"/>
      <c r="V10" s="13"/>
      <c r="W10" s="13"/>
      <c r="X10" s="248"/>
      <c r="Y10" s="248"/>
      <c r="Z10" s="248"/>
      <c r="AA10" s="248"/>
      <c r="AB10" s="248"/>
      <c r="AC10" s="248"/>
      <c r="AD10" s="9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P10" s="97"/>
      <c r="AQ10" s="55"/>
      <c r="AR10" s="54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241"/>
      <c r="B11" s="242"/>
      <c r="C11" s="177"/>
      <c r="D11" s="177"/>
      <c r="E11" s="177"/>
      <c r="F11" s="178"/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3"/>
      <c r="U11" s="13"/>
      <c r="V11" s="13"/>
      <c r="W11" s="13"/>
      <c r="X11" s="248"/>
      <c r="Y11" s="248"/>
      <c r="Z11" s="248"/>
      <c r="AA11" s="248"/>
      <c r="AB11" s="248"/>
      <c r="AC11" s="248"/>
      <c r="AD11" s="4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Q11" s="55"/>
      <c r="AR11" s="54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241"/>
      <c r="B12" s="242"/>
      <c r="C12" s="177"/>
      <c r="D12" s="177"/>
      <c r="E12" s="177"/>
      <c r="F12" s="178"/>
      <c r="G12" s="178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 s="54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241"/>
      <c r="B13" s="242"/>
      <c r="C13" s="177" t="s">
        <v>90</v>
      </c>
      <c r="D13" s="177"/>
      <c r="E13" s="177"/>
      <c r="F13" s="207">
        <f>AM451/сред</f>
        <v>74.89402690909088</v>
      </c>
      <c r="G13" s="207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 s="54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241"/>
      <c r="B14" s="242"/>
      <c r="C14" s="177"/>
      <c r="D14" s="177"/>
      <c r="E14" s="177"/>
      <c r="F14" s="207"/>
      <c r="G14" s="207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 s="5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241"/>
      <c r="B15" s="242"/>
      <c r="C15" s="177"/>
      <c r="D15" s="177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 s="54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241"/>
      <c r="B16" s="242"/>
      <c r="C16" s="177"/>
      <c r="D16" s="177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 s="54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 s="54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86" t="s">
        <v>76</v>
      </c>
      <c r="B18" s="187"/>
      <c r="C18" s="188"/>
      <c r="D18" s="188"/>
      <c r="E18" s="189"/>
      <c r="F18" s="243" t="s">
        <v>77</v>
      </c>
      <c r="G18" s="190" t="s">
        <v>97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21"/>
      <c r="AH18" s="204" t="s">
        <v>1</v>
      </c>
      <c r="AI18" s="180" t="s">
        <v>108</v>
      </c>
      <c r="AJ18" s="181"/>
      <c r="AK18" s="186" t="s">
        <v>87</v>
      </c>
      <c r="AL18" s="188"/>
      <c r="AM18" s="188"/>
      <c r="AN18" s="189"/>
      <c r="AQ18" s="55"/>
      <c r="AR18" s="54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147" t="s">
        <v>75</v>
      </c>
      <c r="B19" s="192"/>
      <c r="C19" s="192"/>
      <c r="D19" s="192"/>
      <c r="E19" s="157"/>
      <c r="F19" s="244"/>
      <c r="G19" s="126" t="s">
        <v>541</v>
      </c>
      <c r="H19" s="126"/>
      <c r="I19" s="126"/>
      <c r="J19" s="126"/>
      <c r="K19" s="126"/>
      <c r="L19" s="126"/>
      <c r="M19" s="126" t="s">
        <v>542</v>
      </c>
      <c r="N19" s="126"/>
      <c r="O19" s="126" t="s">
        <v>72</v>
      </c>
      <c r="P19" s="126"/>
      <c r="Q19" s="126"/>
      <c r="R19" s="126"/>
      <c r="S19" s="126"/>
      <c r="T19" s="126"/>
      <c r="U19" s="126"/>
      <c r="V19" s="126"/>
      <c r="W19" s="232" t="s">
        <v>73</v>
      </c>
      <c r="X19" s="232"/>
      <c r="Y19" s="232"/>
      <c r="Z19" s="126" t="s">
        <v>74</v>
      </c>
      <c r="AA19" s="126"/>
      <c r="AB19" s="126"/>
      <c r="AC19" s="126"/>
      <c r="AD19" s="126"/>
      <c r="AE19" s="126"/>
      <c r="AF19" s="126"/>
      <c r="AG19" s="126"/>
      <c r="AH19" s="205"/>
      <c r="AI19" s="182"/>
      <c r="AJ19" s="183"/>
      <c r="AK19" s="213" t="s">
        <v>5</v>
      </c>
      <c r="AL19" s="214"/>
      <c r="AM19" s="214"/>
      <c r="AN19" s="215"/>
      <c r="AQ19" s="55"/>
      <c r="AR19" s="54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193"/>
      <c r="B20" s="194"/>
      <c r="C20" s="194"/>
      <c r="D20" s="194"/>
      <c r="E20" s="195"/>
      <c r="F20" s="244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232"/>
      <c r="X20" s="232"/>
      <c r="Y20" s="232"/>
      <c r="Z20" s="127"/>
      <c r="AA20" s="127"/>
      <c r="AB20" s="127"/>
      <c r="AC20" s="127"/>
      <c r="AD20" s="127"/>
      <c r="AE20" s="127"/>
      <c r="AF20" s="127"/>
      <c r="AG20" s="127"/>
      <c r="AH20" s="205"/>
      <c r="AI20" s="182"/>
      <c r="AJ20" s="183"/>
      <c r="AK20" s="216"/>
      <c r="AL20" s="217"/>
      <c r="AM20" s="217"/>
      <c r="AN20" s="218"/>
      <c r="AQ20" s="55"/>
      <c r="AR20" s="54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148"/>
      <c r="B21" s="196"/>
      <c r="C21" s="196"/>
      <c r="D21" s="196"/>
      <c r="E21" s="158"/>
      <c r="F21" s="245"/>
      <c r="G21" s="68" t="s">
        <v>322</v>
      </c>
      <c r="H21" s="61" t="s">
        <v>246</v>
      </c>
      <c r="I21" s="61" t="s">
        <v>563</v>
      </c>
      <c r="J21" s="62" t="s">
        <v>310</v>
      </c>
      <c r="K21" s="60" t="s">
        <v>425</v>
      </c>
      <c r="L21" s="114"/>
      <c r="M21" s="68" t="s">
        <v>290</v>
      </c>
      <c r="N21" s="77"/>
      <c r="O21" s="63" t="s">
        <v>174</v>
      </c>
      <c r="P21" s="60" t="s">
        <v>231</v>
      </c>
      <c r="Q21" s="63" t="s">
        <v>564</v>
      </c>
      <c r="R21" s="60" t="s">
        <v>356</v>
      </c>
      <c r="S21" s="60" t="s">
        <v>310</v>
      </c>
      <c r="T21" s="60" t="s">
        <v>423</v>
      </c>
      <c r="U21" s="60" t="s">
        <v>290</v>
      </c>
      <c r="V21" s="77"/>
      <c r="W21" s="63" t="s">
        <v>135</v>
      </c>
      <c r="X21" s="60" t="s">
        <v>218</v>
      </c>
      <c r="Y21" s="77"/>
      <c r="Z21" s="63" t="s">
        <v>170</v>
      </c>
      <c r="AA21" s="60" t="s">
        <v>565</v>
      </c>
      <c r="AB21" s="60" t="s">
        <v>380</v>
      </c>
      <c r="AC21" s="60" t="s">
        <v>561</v>
      </c>
      <c r="AD21" s="60" t="s">
        <v>310</v>
      </c>
      <c r="AE21" s="60" t="s">
        <v>566</v>
      </c>
      <c r="AF21" s="60"/>
      <c r="AG21" s="77"/>
      <c r="AH21" s="206"/>
      <c r="AI21" s="184"/>
      <c r="AJ21" s="185"/>
      <c r="AK21" s="184" t="s">
        <v>109</v>
      </c>
      <c r="AL21" s="249"/>
      <c r="AM21" s="92" t="s">
        <v>110</v>
      </c>
      <c r="AN21" s="96" t="s">
        <v>111</v>
      </c>
      <c r="AQ21" s="55"/>
      <c r="AR21" s="54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219">
        <v>1</v>
      </c>
      <c r="B22" s="219"/>
      <c r="C22" s="219"/>
      <c r="D22" s="219"/>
      <c r="E22" s="219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09">
        <v>31</v>
      </c>
      <c r="AJ22" s="210"/>
      <c r="AK22" s="219">
        <v>32</v>
      </c>
      <c r="AL22" s="219"/>
      <c r="AM22" s="94">
        <v>33</v>
      </c>
      <c r="AN22" s="93">
        <v>34</v>
      </c>
      <c r="AQ22" s="55"/>
      <c r="AR22" s="54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228" t="s">
        <v>78</v>
      </c>
      <c r="B23" s="228"/>
      <c r="C23" s="228"/>
      <c r="D23" s="228"/>
      <c r="E23" s="228"/>
      <c r="F23" s="56" t="s">
        <v>1</v>
      </c>
      <c r="G23" s="70">
        <v>24</v>
      </c>
      <c r="H23" s="19">
        <f>G23</f>
        <v>24</v>
      </c>
      <c r="I23" s="19">
        <f>G23</f>
        <v>24</v>
      </c>
      <c r="J23" s="19">
        <f>G23</f>
        <v>24</v>
      </c>
      <c r="K23" s="19">
        <f>G23</f>
        <v>24</v>
      </c>
      <c r="L23" s="56">
        <f>G23</f>
        <v>24</v>
      </c>
      <c r="M23" s="70">
        <f>G23</f>
        <v>24</v>
      </c>
      <c r="N23" s="79">
        <f>M23</f>
        <v>24</v>
      </c>
      <c r="O23" s="20">
        <v>24</v>
      </c>
      <c r="P23" s="19">
        <f aca="true" t="shared" si="0" ref="P23:V23">O23</f>
        <v>24</v>
      </c>
      <c r="Q23" s="20">
        <f t="shared" si="0"/>
        <v>24</v>
      </c>
      <c r="R23" s="19">
        <f t="shared" si="0"/>
        <v>24</v>
      </c>
      <c r="S23" s="19">
        <f t="shared" si="0"/>
        <v>24</v>
      </c>
      <c r="T23" s="19">
        <f t="shared" si="0"/>
        <v>24</v>
      </c>
      <c r="U23" s="19">
        <f t="shared" si="0"/>
        <v>24</v>
      </c>
      <c r="V23" s="79">
        <f t="shared" si="0"/>
        <v>24</v>
      </c>
      <c r="W23" s="20">
        <v>21</v>
      </c>
      <c r="X23" s="19">
        <f>W23</f>
        <v>21</v>
      </c>
      <c r="Y23" s="79">
        <f>X23</f>
        <v>21</v>
      </c>
      <c r="Z23" s="20">
        <v>18</v>
      </c>
      <c r="AA23" s="19">
        <f>Z23</f>
        <v>18</v>
      </c>
      <c r="AB23" s="19">
        <f aca="true" t="shared" si="1" ref="AB23:AG23">AA23</f>
        <v>18</v>
      </c>
      <c r="AC23" s="19">
        <f t="shared" si="1"/>
        <v>18</v>
      </c>
      <c r="AD23" s="19">
        <f t="shared" si="1"/>
        <v>18</v>
      </c>
      <c r="AE23" s="19">
        <f t="shared" si="1"/>
        <v>18</v>
      </c>
      <c r="AF23" s="19">
        <f t="shared" si="1"/>
        <v>18</v>
      </c>
      <c r="AG23" s="79">
        <f t="shared" si="1"/>
        <v>18</v>
      </c>
      <c r="AH23" s="2"/>
      <c r="AI23" s="203"/>
      <c r="AJ23" s="203"/>
      <c r="AK23" s="179"/>
      <c r="AL23" s="179"/>
      <c r="AM23" s="1"/>
      <c r="AN23" s="2"/>
      <c r="AQ23" s="55"/>
      <c r="AR23" s="54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229" t="s">
        <v>79</v>
      </c>
      <c r="B24" s="229"/>
      <c r="C24" s="229"/>
      <c r="D24" s="229"/>
      <c r="E24" s="230"/>
      <c r="F24" s="57" t="s">
        <v>1</v>
      </c>
      <c r="G24" s="125">
        <f>IF(завтрак1="хліб житній",DS2,(IF(завтрак1="хліб пшеничний",DR2,(VLOOKUP(завтрак1,таб,67,FALSE)))))</f>
        <v>100</v>
      </c>
      <c r="H24" s="39">
        <f>IF(завтрак2="хліб житній",DS2,(IF(завтрак2="хліб пшеничний",DR2,(VLOOKUP(завтрак2,таб,67,FALSE)))))</f>
        <v>150</v>
      </c>
      <c r="I24" s="39">
        <f>IF(завтрак3="хліб житній",DS2,(IF(завтрак3="хліб пшеничний",DR2,(VLOOKUP(завтрак3,таб,67,FALSE)))))</f>
        <v>120</v>
      </c>
      <c r="J24" s="39">
        <v>50</v>
      </c>
      <c r="K24" s="39">
        <v>200</v>
      </c>
      <c r="L24" s="115">
        <f>IF(завтрак6="хліб житній",DS2,(IF(завтрак6="хліб пшеничний",DR2,(VLOOKUP(завтрак6,таб,67,FALSE)))))</f>
        <v>0</v>
      </c>
      <c r="M24" s="124">
        <f>IF(завтрак7="хліб житній",DS2,(IF(завтрак7="хліб пшеничний",DR2,(VLOOKUP(завтрак7,таб,67,FALSE)))))</f>
        <v>100</v>
      </c>
      <c r="N24" s="80">
        <f>IF(завтрак8="хліб житній",DS2,(IF(завтрак8="хліб пшеничний",DR2,(VLOOKUP(завтрак8,таб,67,FALSE)))))</f>
        <v>0</v>
      </c>
      <c r="O24" s="39">
        <f>IF(обед1="хліб житній",DU2,(IF(обед1="хліб пшеничний",DT2,(VLOOKUP(обед1,таб,67,FALSE)))))</f>
        <v>100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150</v>
      </c>
      <c r="R24" s="39">
        <v>120</v>
      </c>
      <c r="S24" s="39">
        <v>50</v>
      </c>
      <c r="T24" s="39">
        <f>IF(обед6="хліб житній",DU2,(IF(обед6="хліб пшеничний",DT2,(VLOOKUP(обед6,таб,67,FALSE)))))</f>
        <v>180</v>
      </c>
      <c r="U24" s="39">
        <f>IF(обед7="хліб житній",DU2,(IF(обед7="хліб пшеничний",DT2,(VLOOKUP(обед7,таб,67,FALSE)))))</f>
        <v>100</v>
      </c>
      <c r="V24" s="80">
        <f>IF(обед8="хліб житній",DU2,(IF(обед8="хліб пшеничний",DT2,(VLOOKUP(обед8,таб,67,FALSE)))))</f>
        <v>0</v>
      </c>
      <c r="W24" s="39">
        <f>VLOOKUP(полдник1,таб,67,FALSE)</f>
        <v>100</v>
      </c>
      <c r="X24" s="38">
        <f>VLOOKUP(полдник2,таб,67,FALSE)</f>
        <v>150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100</v>
      </c>
      <c r="AA24" s="38">
        <f>IF(ужин2="хліб житній",DW2,(IF(ужин2="хліб пшеничний",DV2,(VLOOKUP(ужин2,таб,67,FALSE)))))</f>
        <v>150</v>
      </c>
      <c r="AB24" s="38">
        <f>IF(ужин3="хліб житній",DW2,(IF(ужин3="хліб пшеничний",DV2,(VLOOKUP(ужин3,таб,67,FALSE)))))</f>
        <v>30</v>
      </c>
      <c r="AC24" s="38">
        <f>IF(ужин4="хліб житній",DW2,(IF(ужин4="хліб пшеничний",DV2,(VLOOKUP(ужин4,таб,67,FALSE)))))</f>
        <v>1</v>
      </c>
      <c r="AD24" s="38">
        <v>50</v>
      </c>
      <c r="AE24" s="38">
        <v>150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212"/>
      <c r="AJ24" s="212"/>
      <c r="AK24" s="179"/>
      <c r="AL24" s="179"/>
      <c r="AM24" s="1"/>
      <c r="AN24" s="2"/>
      <c r="AQ24" s="55"/>
      <c r="AR24" s="5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66" t="s">
        <v>7</v>
      </c>
      <c r="B25" s="166"/>
      <c r="C25" s="166"/>
      <c r="D25" s="166"/>
      <c r="E25" s="167"/>
      <c r="F25" s="64" t="s">
        <v>95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6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/>
      <c r="AF25" s="26">
        <f>VLOOKUP(ужин7,таб,2,FALSE)</f>
        <v>0</v>
      </c>
      <c r="AG25" s="81">
        <f>VLOOKUP(ужин8,таб,2,FALSE)</f>
        <v>0</v>
      </c>
      <c r="AH25" s="144">
        <v>610001</v>
      </c>
      <c r="AI25" s="142">
        <f>AK25/сред</f>
        <v>0</v>
      </c>
      <c r="AJ25" s="143"/>
      <c r="AK25" s="146">
        <f>SUM(G26:AG26)</f>
        <v>0</v>
      </c>
      <c r="AL25" s="146"/>
      <c r="AM25" s="134">
        <f>IF(AK25=0,0,Таблиця!C267)</f>
        <v>0</v>
      </c>
      <c r="AN25" s="132">
        <f>AK25*AM25</f>
        <v>0</v>
      </c>
      <c r="AQ25" s="54"/>
      <c r="AR25" s="54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66"/>
      <c r="B26" s="166"/>
      <c r="C26" s="166"/>
      <c r="D26" s="166"/>
      <c r="E26" s="167"/>
      <c r="F26" s="59" t="s">
        <v>96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>
        <f t="shared" si="2"/>
      </c>
      <c r="L26" s="117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/>
      <c r="AF26" s="44">
        <f t="shared" si="4"/>
      </c>
      <c r="AG26" s="82">
        <f t="shared" si="4"/>
      </c>
      <c r="AH26" s="145"/>
      <c r="AI26" s="142"/>
      <c r="AJ26" s="143"/>
      <c r="AK26" s="146"/>
      <c r="AL26" s="146"/>
      <c r="AM26" s="135"/>
      <c r="AN26" s="133"/>
      <c r="AQ26" s="55"/>
      <c r="AR26" s="54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66" t="s">
        <v>3</v>
      </c>
      <c r="B27" s="166"/>
      <c r="C27" s="166"/>
      <c r="D27" s="166"/>
      <c r="E27" s="167"/>
      <c r="F27" s="64" t="s">
        <v>95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6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>
        <v>120.6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/>
      <c r="AF27" s="26">
        <f>VLOOKUP(ужин7,таб,3,FALSE)</f>
        <v>0</v>
      </c>
      <c r="AG27" s="81">
        <f>VLOOKUP(ужин8,таб,3,FALSE)</f>
        <v>0</v>
      </c>
      <c r="AH27" s="144">
        <v>610002</v>
      </c>
      <c r="AI27" s="142">
        <f>AK27/сред</f>
        <v>0.13156363636363635</v>
      </c>
      <c r="AJ27" s="143"/>
      <c r="AK27" s="146">
        <f>SUM(G28:AG28)</f>
        <v>2.8943999999999996</v>
      </c>
      <c r="AL27" s="146"/>
      <c r="AM27" s="134">
        <f>IF(AK27=0,0,Таблиця!D267)</f>
        <v>130</v>
      </c>
      <c r="AN27" s="132">
        <f>AK27*AM27</f>
        <v>376.27199999999993</v>
      </c>
      <c r="AQ27" s="54"/>
      <c r="AR27" s="54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66"/>
      <c r="B28" s="166"/>
      <c r="C28" s="166"/>
      <c r="D28" s="166"/>
      <c r="E28" s="167"/>
      <c r="F28" s="59" t="s">
        <v>96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>
        <f t="shared" si="5"/>
      </c>
      <c r="L28" s="117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</c>
      <c r="R28" s="44">
        <f t="shared" si="6"/>
        <v>2.8943999999999996</v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/>
      <c r="AF28" s="44">
        <f t="shared" si="7"/>
      </c>
      <c r="AG28" s="82">
        <f t="shared" si="7"/>
      </c>
      <c r="AH28" s="145"/>
      <c r="AI28" s="142"/>
      <c r="AJ28" s="143"/>
      <c r="AK28" s="146"/>
      <c r="AL28" s="146"/>
      <c r="AM28" s="135"/>
      <c r="AN28" s="133"/>
      <c r="AQ28" s="55"/>
      <c r="AR28" s="54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59" t="s">
        <v>8</v>
      </c>
      <c r="B29" s="159"/>
      <c r="C29" s="159"/>
      <c r="D29" s="159"/>
      <c r="E29" s="160"/>
      <c r="F29" s="64" t="s">
        <v>95</v>
      </c>
      <c r="G29" s="71">
        <f>VLOOKUP(завтрак1,таб,4,FALSE)</f>
        <v>0</v>
      </c>
      <c r="H29" s="27">
        <f>VLOOKUP(завтрак2,таб,4,FALSE)</f>
        <v>0</v>
      </c>
      <c r="I29" s="26">
        <f>VLOOKUP(завтрак3,таб,4,FALSE)</f>
        <v>124.2</v>
      </c>
      <c r="J29" s="27">
        <f>VLOOKUP(завтрак4,таб,4,FALSE)</f>
        <v>0</v>
      </c>
      <c r="K29" s="26">
        <f>VLOOKUP(завтрак5,таб,4,FALSE)</f>
        <v>0</v>
      </c>
      <c r="L29" s="116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0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/>
      <c r="AF29" s="26">
        <f>VLOOKUP(ужин7,таб,4,FALSE)</f>
        <v>0</v>
      </c>
      <c r="AG29" s="81">
        <f>VLOOKUP(ужин8,таб,4,FALSE)</f>
        <v>0</v>
      </c>
      <c r="AH29" s="144">
        <v>610009</v>
      </c>
      <c r="AI29" s="142">
        <f>AK29/сред</f>
        <v>0.1354909090909091</v>
      </c>
      <c r="AJ29" s="143"/>
      <c r="AK29" s="146">
        <f>SUM(G30:AG30)</f>
        <v>2.9808000000000003</v>
      </c>
      <c r="AL29" s="146"/>
      <c r="AM29" s="134">
        <f>IF(AK29=0,0,Таблиця!E267)</f>
        <v>98.92</v>
      </c>
      <c r="AN29" s="132">
        <f>AK29*AM29</f>
        <v>294.86073600000003</v>
      </c>
      <c r="AQ29" s="54"/>
      <c r="AR29" s="54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66"/>
      <c r="B30" s="166"/>
      <c r="C30" s="166"/>
      <c r="D30" s="166"/>
      <c r="E30" s="167"/>
      <c r="F30" s="59" t="s">
        <v>96</v>
      </c>
      <c r="G30" s="72">
        <f aca="true" t="shared" si="8" ref="G30:N30">IF(G29=0,"",завтракл*G29/1000)</f>
      </c>
      <c r="H30" s="45">
        <f t="shared" si="8"/>
      </c>
      <c r="I30" s="44">
        <f t="shared" si="8"/>
        <v>2.9808000000000003</v>
      </c>
      <c r="J30" s="45">
        <f t="shared" si="8"/>
      </c>
      <c r="K30" s="44">
        <f t="shared" si="8"/>
      </c>
      <c r="L30" s="117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/>
      <c r="AF30" s="44">
        <f t="shared" si="10"/>
      </c>
      <c r="AG30" s="82">
        <f t="shared" si="10"/>
      </c>
      <c r="AH30" s="145"/>
      <c r="AI30" s="142"/>
      <c r="AJ30" s="143"/>
      <c r="AK30" s="146"/>
      <c r="AL30" s="146"/>
      <c r="AM30" s="135"/>
      <c r="AN30" s="133"/>
      <c r="AQ30" s="55"/>
      <c r="AR30" s="54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66" t="s">
        <v>105</v>
      </c>
      <c r="B31" s="166"/>
      <c r="C31" s="166"/>
      <c r="D31" s="166"/>
      <c r="E31" s="167"/>
      <c r="F31" s="64" t="s">
        <v>95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6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/>
      <c r="AF31" s="26">
        <f>VLOOKUP(ужин7,таб,5,FALSE)</f>
        <v>0</v>
      </c>
      <c r="AG31" s="81">
        <f>VLOOKUP(ужин8,таб,5,FALSE)</f>
        <v>0</v>
      </c>
      <c r="AH31" s="144">
        <v>610024</v>
      </c>
      <c r="AI31" s="142">
        <f>AK31/сред</f>
        <v>0</v>
      </c>
      <c r="AJ31" s="143"/>
      <c r="AK31" s="146">
        <f>SUM(G32:AG32)</f>
        <v>0</v>
      </c>
      <c r="AL31" s="146"/>
      <c r="AM31" s="134">
        <f>IF(AK31=0,0,Таблиця!DY267)</f>
        <v>0</v>
      </c>
      <c r="AN31" s="132">
        <f>AK31*AM31</f>
        <v>0</v>
      </c>
      <c r="AQ31" s="55"/>
      <c r="AR31" s="54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66"/>
      <c r="B32" s="166"/>
      <c r="C32" s="166"/>
      <c r="D32" s="166"/>
      <c r="E32" s="167"/>
      <c r="F32" s="59" t="s">
        <v>96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>
        <f t="shared" si="11"/>
      </c>
      <c r="L32" s="117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/>
      <c r="AF32" s="44">
        <f t="shared" si="13"/>
      </c>
      <c r="AG32" s="82">
        <f t="shared" si="13"/>
      </c>
      <c r="AH32" s="145"/>
      <c r="AI32" s="142"/>
      <c r="AJ32" s="143"/>
      <c r="AK32" s="146"/>
      <c r="AL32" s="146"/>
      <c r="AM32" s="135"/>
      <c r="AN32" s="133"/>
      <c r="AQ32" s="55"/>
      <c r="AR32" s="54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66" t="s">
        <v>9</v>
      </c>
      <c r="B33" s="166"/>
      <c r="C33" s="166"/>
      <c r="D33" s="166"/>
      <c r="E33" s="167"/>
      <c r="F33" s="64" t="s">
        <v>95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6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/>
      <c r="AF33" s="26">
        <f>VLOOKUP(ужин7,таб,6,FALSE)</f>
        <v>0</v>
      </c>
      <c r="AG33" s="81">
        <f>VLOOKUP(ужин8,таб,6,FALSE)</f>
        <v>0</v>
      </c>
      <c r="AH33" s="144">
        <v>610036</v>
      </c>
      <c r="AI33" s="142">
        <f>AK33/сред</f>
        <v>0</v>
      </c>
      <c r="AJ33" s="143"/>
      <c r="AK33" s="146">
        <f>SUM(G34:AG34)</f>
        <v>0</v>
      </c>
      <c r="AL33" s="146"/>
      <c r="AM33" s="134">
        <f>IF(AK33=0,0,Таблиця!DZ267)</f>
        <v>0</v>
      </c>
      <c r="AN33" s="132">
        <f>AK33*AM33</f>
        <v>0</v>
      </c>
      <c r="AQ33" s="55"/>
      <c r="AR33" s="54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66"/>
      <c r="B34" s="166"/>
      <c r="C34" s="166"/>
      <c r="D34" s="166"/>
      <c r="E34" s="167"/>
      <c r="F34" s="59" t="s">
        <v>96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>
        <f t="shared" si="14"/>
      </c>
      <c r="L34" s="117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/>
      <c r="AF34" s="44">
        <f t="shared" si="16"/>
      </c>
      <c r="AG34" s="82">
        <f t="shared" si="16"/>
      </c>
      <c r="AH34" s="145"/>
      <c r="AI34" s="142"/>
      <c r="AJ34" s="143"/>
      <c r="AK34" s="146"/>
      <c r="AL34" s="146"/>
      <c r="AM34" s="135"/>
      <c r="AN34" s="133"/>
      <c r="AQ34" s="55"/>
      <c r="AR34" s="5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66" t="s">
        <v>122</v>
      </c>
      <c r="B35" s="166"/>
      <c r="C35" s="166"/>
      <c r="D35" s="166"/>
      <c r="E35" s="167"/>
      <c r="F35" s="64" t="s">
        <v>95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6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/>
      <c r="AF35" s="26">
        <f>VLOOKUP(ужин7,таб,7,FALSE)</f>
        <v>0</v>
      </c>
      <c r="AG35" s="81">
        <f>VLOOKUP(ужин8,таб,7,FALSE)</f>
        <v>0</v>
      </c>
      <c r="AH35" s="144">
        <v>610052</v>
      </c>
      <c r="AI35" s="142">
        <f>AK35/сред</f>
        <v>0</v>
      </c>
      <c r="AJ35" s="143"/>
      <c r="AK35" s="146">
        <f>SUM(G36:AG36)</f>
        <v>0</v>
      </c>
      <c r="AL35" s="146"/>
      <c r="AM35" s="134">
        <f>IF(AK35=0,0,Таблиця!EA267)</f>
        <v>0</v>
      </c>
      <c r="AN35" s="132">
        <f>AK35*AM35</f>
        <v>0</v>
      </c>
      <c r="AQ35" s="55"/>
      <c r="AR35" s="54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66"/>
      <c r="B36" s="166"/>
      <c r="C36" s="166"/>
      <c r="D36" s="166"/>
      <c r="E36" s="167"/>
      <c r="F36" s="59" t="s">
        <v>96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>
        <f t="shared" si="17"/>
      </c>
      <c r="L36" s="117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/>
      <c r="AF36" s="44">
        <f t="shared" si="19"/>
      </c>
      <c r="AG36" s="82">
        <f t="shared" si="19"/>
      </c>
      <c r="AH36" s="145"/>
      <c r="AI36" s="142"/>
      <c r="AJ36" s="143"/>
      <c r="AK36" s="146"/>
      <c r="AL36" s="146"/>
      <c r="AM36" s="135"/>
      <c r="AN36" s="133"/>
      <c r="AQ36" s="55"/>
      <c r="AR36" s="54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66" t="s">
        <v>10</v>
      </c>
      <c r="B37" s="166"/>
      <c r="C37" s="166"/>
      <c r="D37" s="166"/>
      <c r="E37" s="167"/>
      <c r="F37" s="64" t="s">
        <v>95</v>
      </c>
      <c r="G37" s="71">
        <f>VLOOKUP(завтрак1,таб,8,FALSE)</f>
        <v>0</v>
      </c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6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/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/>
      <c r="AF37" s="26">
        <f>VLOOKUP(ужин7,таб,8,FALSE)</f>
        <v>0</v>
      </c>
      <c r="AG37" s="81">
        <f>VLOOKUP(ужин8,таб,8,FALSE)</f>
        <v>0</v>
      </c>
      <c r="AH37" s="144">
        <v>611008</v>
      </c>
      <c r="AI37" s="142">
        <f>AK37/сред</f>
        <v>0</v>
      </c>
      <c r="AJ37" s="143"/>
      <c r="AK37" s="146">
        <f>SUM(G38:AG38)</f>
        <v>0</v>
      </c>
      <c r="AL37" s="146"/>
      <c r="AM37" s="134">
        <f>IF(AK37=0,0,Таблиця!I267)</f>
        <v>0</v>
      </c>
      <c r="AN37" s="132">
        <f>AK37*AM37</f>
        <v>0</v>
      </c>
      <c r="AQ37" s="55"/>
      <c r="AR37" s="54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66"/>
      <c r="B38" s="166"/>
      <c r="C38" s="166"/>
      <c r="D38" s="166"/>
      <c r="E38" s="167"/>
      <c r="F38" s="59" t="s">
        <v>96</v>
      </c>
      <c r="G38" s="72">
        <f aca="true" t="shared" si="20" ref="G38:N38">IF(G37=0,"",завтракл*G37/1000)</f>
      </c>
      <c r="H38" s="45">
        <f t="shared" si="20"/>
      </c>
      <c r="I38" s="44">
        <f t="shared" si="20"/>
      </c>
      <c r="J38" s="45">
        <f t="shared" si="20"/>
      </c>
      <c r="K38" s="44">
        <f t="shared" si="20"/>
      </c>
      <c r="L38" s="117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</c>
      <c r="AC38" s="45">
        <f t="shared" si="22"/>
      </c>
      <c r="AD38" s="44">
        <f t="shared" si="22"/>
      </c>
      <c r="AE38" s="45"/>
      <c r="AF38" s="44">
        <f t="shared" si="22"/>
      </c>
      <c r="AG38" s="82">
        <f t="shared" si="22"/>
      </c>
      <c r="AH38" s="145"/>
      <c r="AI38" s="142"/>
      <c r="AJ38" s="143"/>
      <c r="AK38" s="146"/>
      <c r="AL38" s="146"/>
      <c r="AM38" s="135"/>
      <c r="AN38" s="133"/>
      <c r="AQ38" s="54"/>
      <c r="AR38" s="54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66" t="s">
        <v>106</v>
      </c>
      <c r="B39" s="166"/>
      <c r="C39" s="166"/>
      <c r="D39" s="166"/>
      <c r="E39" s="167"/>
      <c r="F39" s="64" t="s">
        <v>95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6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/>
      <c r="AF39" s="26">
        <f>VLOOKUP(ужин7,таб,9,FALSE)</f>
        <v>0</v>
      </c>
      <c r="AG39" s="81">
        <f>VLOOKUP(ужин8,таб,9,FALSE)</f>
        <v>0</v>
      </c>
      <c r="AH39" s="144">
        <v>611017</v>
      </c>
      <c r="AI39" s="142">
        <f>AK39/сред</f>
        <v>0</v>
      </c>
      <c r="AJ39" s="143"/>
      <c r="AK39" s="146">
        <f>SUM(G40:AG40)</f>
        <v>0</v>
      </c>
      <c r="AL39" s="146"/>
      <c r="AM39" s="134">
        <f>IF(AK39=0,0,Таблиця!EB267)</f>
        <v>0</v>
      </c>
      <c r="AN39" s="132">
        <f>AK39*AM39</f>
        <v>0</v>
      </c>
      <c r="AQ39" s="55"/>
      <c r="AR39" s="54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66"/>
      <c r="B40" s="166"/>
      <c r="C40" s="166"/>
      <c r="D40" s="166"/>
      <c r="E40" s="167"/>
      <c r="F40" s="59" t="s">
        <v>96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>
        <f t="shared" si="23"/>
      </c>
      <c r="L40" s="117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/>
      <c r="AF40" s="44">
        <f t="shared" si="25"/>
      </c>
      <c r="AG40" s="82">
        <f t="shared" si="25"/>
      </c>
      <c r="AH40" s="145"/>
      <c r="AI40" s="142"/>
      <c r="AJ40" s="143"/>
      <c r="AK40" s="146"/>
      <c r="AL40" s="146"/>
      <c r="AM40" s="135"/>
      <c r="AN40" s="133"/>
      <c r="AQ40" s="55"/>
      <c r="AR40" s="54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66" t="s">
        <v>11</v>
      </c>
      <c r="B41" s="166"/>
      <c r="C41" s="166"/>
      <c r="D41" s="166"/>
      <c r="E41" s="167"/>
      <c r="F41" s="64" t="s">
        <v>95</v>
      </c>
      <c r="G41" s="71">
        <f>VLOOKUP(завтрак1,таб,10,FALSE)</f>
        <v>0</v>
      </c>
      <c r="H41" s="27">
        <f>VLOOKUP(завтрак2,таб,10,FALSE)</f>
        <v>3.8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6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f>VLOOKUP(обед2,таб,10,FALSE)</f>
        <v>0</v>
      </c>
      <c r="Q41" s="27">
        <f>VLOOKUP(обед3,таб,10,FALSE)</f>
        <v>8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0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f>VLOOKUP(ужин2,таб,10,FALSE)</f>
        <v>8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/>
      <c r="AF41" s="26">
        <f>VLOOKUP(ужин7,таб,10,FALSE)</f>
        <v>0</v>
      </c>
      <c r="AG41" s="81">
        <f>VLOOKUP(ужин8,таб,10,FALSE)</f>
        <v>0</v>
      </c>
      <c r="AH41" s="144">
        <v>612001</v>
      </c>
      <c r="AI41" s="142">
        <f>AK41/сред</f>
        <v>0.01941818181818182</v>
      </c>
      <c r="AJ41" s="143"/>
      <c r="AK41" s="146">
        <f>SUM(G42:AG42)</f>
        <v>0.4272</v>
      </c>
      <c r="AL41" s="146"/>
      <c r="AM41" s="134">
        <f>IF(AK41=0,0,Таблиця!K267)</f>
        <v>166.66</v>
      </c>
      <c r="AN41" s="132">
        <f>AK41*AM41</f>
        <v>71.197152</v>
      </c>
      <c r="AQ41" s="54"/>
      <c r="AR41" s="54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66"/>
      <c r="B42" s="166"/>
      <c r="C42" s="166"/>
      <c r="D42" s="166"/>
      <c r="E42" s="167"/>
      <c r="F42" s="59" t="s">
        <v>96</v>
      </c>
      <c r="G42" s="72">
        <f aca="true" t="shared" si="26" ref="G42:N42">IF(G41=0,"",завтракл*G41/1000)</f>
      </c>
      <c r="H42" s="45">
        <f t="shared" si="26"/>
        <v>0.09119999999999999</v>
      </c>
      <c r="I42" s="44">
        <f t="shared" si="26"/>
      </c>
      <c r="J42" s="45">
        <f t="shared" si="26"/>
      </c>
      <c r="K42" s="44">
        <f t="shared" si="26"/>
      </c>
      <c r="L42" s="117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</c>
      <c r="Q42" s="45">
        <f t="shared" si="27"/>
        <v>0.192</v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0.144</v>
      </c>
      <c r="AB42" s="44">
        <f t="shared" si="28"/>
      </c>
      <c r="AC42" s="45">
        <f t="shared" si="28"/>
      </c>
      <c r="AD42" s="44">
        <f t="shared" si="28"/>
      </c>
      <c r="AE42" s="45"/>
      <c r="AF42" s="44">
        <f t="shared" si="28"/>
      </c>
      <c r="AG42" s="82">
        <f t="shared" si="28"/>
      </c>
      <c r="AH42" s="145"/>
      <c r="AI42" s="142"/>
      <c r="AJ42" s="143"/>
      <c r="AK42" s="146"/>
      <c r="AL42" s="146"/>
      <c r="AM42" s="135"/>
      <c r="AN42" s="133"/>
      <c r="AQ42" s="55"/>
      <c r="AR42" s="54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66" t="s">
        <v>12</v>
      </c>
      <c r="B43" s="166"/>
      <c r="C43" s="166"/>
      <c r="D43" s="166"/>
      <c r="E43" s="167"/>
      <c r="F43" s="64" t="s">
        <v>95</v>
      </c>
      <c r="G43" s="71">
        <f>VLOOKUP(завтрак1,таб,11,FALSE)</f>
        <v>0</v>
      </c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6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>
        <f>VLOOKUP(обед3,таб,11,FALSE)</f>
        <v>0</v>
      </c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/>
      <c r="AF43" s="26">
        <f>VLOOKUP(ужин7,таб,11,FALSE)</f>
        <v>0</v>
      </c>
      <c r="AG43" s="81">
        <f>VLOOKUP(ужин8,таб,11,FALSE)</f>
        <v>0</v>
      </c>
      <c r="AH43" s="144">
        <v>612002</v>
      </c>
      <c r="AI43" s="142">
        <f>AK43/сред</f>
        <v>0</v>
      </c>
      <c r="AJ43" s="143"/>
      <c r="AK43" s="146">
        <f>SUM(G44:AG44)</f>
        <v>0</v>
      </c>
      <c r="AL43" s="146"/>
      <c r="AM43" s="134">
        <f>IF(AK43=0,0,Таблиця!EC267)</f>
        <v>0</v>
      </c>
      <c r="AN43" s="132">
        <f>AK43*AM43</f>
        <v>0</v>
      </c>
      <c r="AQ43" s="55"/>
      <c r="AR43" s="54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66"/>
      <c r="B44" s="166"/>
      <c r="C44" s="166"/>
      <c r="D44" s="166"/>
      <c r="E44" s="167"/>
      <c r="F44" s="59" t="s">
        <v>96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>
        <f t="shared" si="29"/>
      </c>
      <c r="L44" s="117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/>
      <c r="AF44" s="44">
        <f t="shared" si="31"/>
      </c>
      <c r="AG44" s="82">
        <f t="shared" si="31"/>
      </c>
      <c r="AH44" s="145"/>
      <c r="AI44" s="142"/>
      <c r="AJ44" s="143"/>
      <c r="AK44" s="146"/>
      <c r="AL44" s="146"/>
      <c r="AM44" s="135"/>
      <c r="AN44" s="133"/>
      <c r="AQ44" s="55"/>
      <c r="AR44" s="5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66" t="s">
        <v>4</v>
      </c>
      <c r="B45" s="166"/>
      <c r="C45" s="166"/>
      <c r="D45" s="166"/>
      <c r="E45" s="167"/>
      <c r="F45" s="64" t="s">
        <v>95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6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/>
      <c r="AF45" s="26">
        <f>VLOOKUP(ужин7,таб,12,FALSE)</f>
        <v>0</v>
      </c>
      <c r="AG45" s="81">
        <f>VLOOKUP(ужин8,таб,12,FALSE)</f>
        <v>0</v>
      </c>
      <c r="AH45" s="144">
        <v>612024</v>
      </c>
      <c r="AI45" s="142">
        <f>AK45/сред</f>
        <v>0</v>
      </c>
      <c r="AJ45" s="143"/>
      <c r="AK45" s="146">
        <f>SUM(G46:AG46)</f>
        <v>0</v>
      </c>
      <c r="AL45" s="146"/>
      <c r="AM45" s="134">
        <f>IF(AK45=0,0,Таблиця!ED267)</f>
        <v>0</v>
      </c>
      <c r="AN45" s="132">
        <f>AK45*AM45</f>
        <v>0</v>
      </c>
      <c r="AP45" s="97"/>
      <c r="AQ45" s="54"/>
      <c r="AR45" s="54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66"/>
      <c r="B46" s="166"/>
      <c r="C46" s="166"/>
      <c r="D46" s="166"/>
      <c r="E46" s="167"/>
      <c r="F46" s="59" t="s">
        <v>96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>
        <f t="shared" si="32"/>
      </c>
      <c r="L46" s="118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/>
      <c r="AF46" s="43">
        <f t="shared" si="34"/>
      </c>
      <c r="AG46" s="85">
        <f t="shared" si="34"/>
      </c>
      <c r="AH46" s="145"/>
      <c r="AI46" s="142"/>
      <c r="AJ46" s="143"/>
      <c r="AK46" s="146"/>
      <c r="AL46" s="146"/>
      <c r="AM46" s="135"/>
      <c r="AN46" s="133"/>
      <c r="AQ46" s="55"/>
      <c r="AR46" s="54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66" t="s">
        <v>13</v>
      </c>
      <c r="B47" s="166"/>
      <c r="C47" s="166"/>
      <c r="D47" s="166"/>
      <c r="E47" s="167"/>
      <c r="F47" s="64" t="s">
        <v>95</v>
      </c>
      <c r="G47" s="71">
        <f>VLOOKUP(завтрак1,таб,13,FALSE)</f>
        <v>0</v>
      </c>
      <c r="H47" s="27">
        <f>VLOOKUP(завтрак2,таб,13,FALSE)</f>
        <v>0</v>
      </c>
      <c r="I47" s="26">
        <v>7.5</v>
      </c>
      <c r="J47" s="27">
        <f>VLOOKUP(завтрак4,таб,13,FALSE)</f>
        <v>0</v>
      </c>
      <c r="K47" s="26"/>
      <c r="L47" s="116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v>4</v>
      </c>
      <c r="P47" s="26">
        <v>3</v>
      </c>
      <c r="Q47" s="27">
        <f>VLOOKUP(обед3,таб,13,FALSE)</f>
        <v>0</v>
      </c>
      <c r="R47" s="26">
        <f>VLOOKUP(обед4,таб,13,FALSE)</f>
        <v>0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f>VLOOKUP(полдник1,таб,13,FALSE)</f>
        <v>5</v>
      </c>
      <c r="X47" s="26">
        <f>VLOOKUP(полдник2,таб,13,FALSE)</f>
        <v>0</v>
      </c>
      <c r="Y47" s="81">
        <f>VLOOKUP(полдник3,таб,13,FALSE)</f>
        <v>0</v>
      </c>
      <c r="Z47" s="28">
        <v>7.5</v>
      </c>
      <c r="AA47" s="27">
        <f>VLOOKUP(ужин2,таб,13,FALSE)</f>
        <v>0</v>
      </c>
      <c r="AB47" s="26">
        <f>VLOOKUP(ужин3,таб,13,FALSE)</f>
        <v>0</v>
      </c>
      <c r="AC47" s="27">
        <f>VLOOKUP(ужин4,таб,13,FALSE)</f>
        <v>0</v>
      </c>
      <c r="AD47" s="26">
        <f>VLOOKUP(ужин5,таб,13,FALSE)</f>
        <v>0</v>
      </c>
      <c r="AE47" s="27"/>
      <c r="AF47" s="26">
        <f>VLOOKUP(ужин7,таб,13,FALSE)</f>
        <v>0</v>
      </c>
      <c r="AG47" s="81">
        <f>VLOOKUP(ужин8,таб,13,FALSE)</f>
        <v>0</v>
      </c>
      <c r="AH47" s="144">
        <v>612025</v>
      </c>
      <c r="AI47" s="142">
        <f>AK47/сред</f>
        <v>0.02672727272727273</v>
      </c>
      <c r="AJ47" s="143"/>
      <c r="AK47" s="146">
        <f>SUM(G48:AG48)</f>
        <v>0.5880000000000001</v>
      </c>
      <c r="AL47" s="146"/>
      <c r="AM47" s="134">
        <f>IF(AK47=0,0,Таблиця!N267)</f>
        <v>58.8</v>
      </c>
      <c r="AN47" s="132">
        <f>AK47*AM47</f>
        <v>34.574400000000004</v>
      </c>
      <c r="AQ47" s="55"/>
      <c r="AR47" s="54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66"/>
      <c r="B48" s="166"/>
      <c r="C48" s="166"/>
      <c r="D48" s="166"/>
      <c r="E48" s="167"/>
      <c r="F48" s="59" t="s">
        <v>96</v>
      </c>
      <c r="G48" s="72">
        <f aca="true" t="shared" si="35" ref="G48:N48">IF(G47=0,"",завтракл*G47/1000)</f>
      </c>
      <c r="H48" s="45">
        <f t="shared" si="35"/>
      </c>
      <c r="I48" s="44">
        <f t="shared" si="35"/>
        <v>0.18</v>
      </c>
      <c r="J48" s="45">
        <f t="shared" si="35"/>
      </c>
      <c r="K48" s="44">
        <f t="shared" si="35"/>
      </c>
      <c r="L48" s="117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0.096</v>
      </c>
      <c r="P48" s="44">
        <f t="shared" si="36"/>
        <v>0.072</v>
      </c>
      <c r="Q48" s="45">
        <f t="shared" si="36"/>
      </c>
      <c r="R48" s="44">
        <f t="shared" si="36"/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0.105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  <v>0.135</v>
      </c>
      <c r="AA48" s="45">
        <f t="shared" si="37"/>
      </c>
      <c r="AB48" s="44">
        <f t="shared" si="37"/>
      </c>
      <c r="AC48" s="45">
        <f t="shared" si="37"/>
      </c>
      <c r="AD48" s="44">
        <f t="shared" si="37"/>
      </c>
      <c r="AE48" s="45"/>
      <c r="AF48" s="44">
        <f t="shared" si="37"/>
      </c>
      <c r="AG48" s="82">
        <f t="shared" si="37"/>
      </c>
      <c r="AH48" s="145"/>
      <c r="AI48" s="142"/>
      <c r="AJ48" s="143"/>
      <c r="AK48" s="146"/>
      <c r="AL48" s="146"/>
      <c r="AM48" s="135"/>
      <c r="AN48" s="133"/>
      <c r="AQ48" s="55"/>
      <c r="AR48" s="54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66" t="s">
        <v>14</v>
      </c>
      <c r="B49" s="166"/>
      <c r="C49" s="166"/>
      <c r="D49" s="166"/>
      <c r="E49" s="167"/>
      <c r="F49" s="64" t="s">
        <v>95</v>
      </c>
      <c r="G49" s="73">
        <f>VLOOKUP(завтрак1,таб,14,FALSE)</f>
        <v>0</v>
      </c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0</v>
      </c>
      <c r="K49" s="29"/>
      <c r="L49" s="119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0</v>
      </c>
      <c r="Q49" s="30">
        <f>VLOOKUP(обед3,таб,14,FALSE)</f>
        <v>0</v>
      </c>
      <c r="R49" s="29">
        <f>VLOOKUP(обед4,таб,14,FALSE)</f>
        <v>0</v>
      </c>
      <c r="S49" s="30">
        <f>VLOOKUP(обед5,таб,14,FALSE)</f>
        <v>0</v>
      </c>
      <c r="T49" s="29">
        <f>VLOOKUP(обед6,таб,14,FALSE)</f>
        <v>180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/>
      <c r="AF49" s="29">
        <f>VLOOKUP(ужин7,таб,14,FALSE)</f>
        <v>0</v>
      </c>
      <c r="AG49" s="86">
        <f>VLOOKUP(ужин8,таб,14,FALSE)</f>
        <v>0</v>
      </c>
      <c r="AH49" s="144">
        <v>612036</v>
      </c>
      <c r="AI49" s="142">
        <f>AK49/сред</f>
        <v>0.19636363636363638</v>
      </c>
      <c r="AJ49" s="143"/>
      <c r="AK49" s="146">
        <f>SUM(G50:AG50)</f>
        <v>4.32</v>
      </c>
      <c r="AL49" s="146"/>
      <c r="AM49" s="134">
        <f>IF(AK49=0,0,Таблиця!O267)</f>
        <v>20.6</v>
      </c>
      <c r="AN49" s="132">
        <f>AK49*AM49</f>
        <v>88.99200000000002</v>
      </c>
      <c r="AQ49" s="55"/>
      <c r="AR49" s="54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61"/>
      <c r="B50" s="161"/>
      <c r="C50" s="161"/>
      <c r="D50" s="161"/>
      <c r="E50" s="162"/>
      <c r="F50" s="59" t="s">
        <v>96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</c>
      <c r="K50" s="43">
        <f t="shared" si="38"/>
      </c>
      <c r="L50" s="118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>
        <f t="shared" si="39"/>
      </c>
      <c r="S50" s="47">
        <f t="shared" si="39"/>
      </c>
      <c r="T50" s="43">
        <f t="shared" si="39"/>
        <v>4.32</v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>
        <f t="shared" si="40"/>
      </c>
      <c r="AD50" s="43">
        <f t="shared" si="40"/>
      </c>
      <c r="AE50" s="47"/>
      <c r="AF50" s="43">
        <f t="shared" si="40"/>
      </c>
      <c r="AG50" s="85">
        <f t="shared" si="40"/>
      </c>
      <c r="AH50" s="145"/>
      <c r="AI50" s="142"/>
      <c r="AJ50" s="143"/>
      <c r="AK50" s="146"/>
      <c r="AL50" s="146"/>
      <c r="AM50" s="135"/>
      <c r="AN50" s="133"/>
      <c r="AQ50" s="55"/>
      <c r="AR50" s="54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66" t="s">
        <v>15</v>
      </c>
      <c r="B51" s="166"/>
      <c r="C51" s="166"/>
      <c r="D51" s="166"/>
      <c r="E51" s="167"/>
      <c r="F51" s="64" t="s">
        <v>95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6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/>
      <c r="AF51" s="26">
        <f>VLOOKUP(ужин7,таб,15,FALSE)</f>
        <v>0</v>
      </c>
      <c r="AG51" s="81">
        <f>VLOOKUP(ужин8,таб,15,FALSE)</f>
        <v>0</v>
      </c>
      <c r="AH51" s="144">
        <v>612034</v>
      </c>
      <c r="AI51" s="142">
        <f>AK51/сред</f>
        <v>0</v>
      </c>
      <c r="AJ51" s="143"/>
      <c r="AK51" s="146">
        <f>SUM(G52:AG52)</f>
        <v>0</v>
      </c>
      <c r="AL51" s="146"/>
      <c r="AM51" s="134">
        <f>IF(AK51=0,0,Таблиця!EE267)</f>
        <v>0</v>
      </c>
      <c r="AN51" s="132">
        <f>AK51*AM51</f>
        <v>0</v>
      </c>
      <c r="AQ51" s="54"/>
      <c r="AR51" s="54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66"/>
      <c r="B52" s="166"/>
      <c r="C52" s="166"/>
      <c r="D52" s="166"/>
      <c r="E52" s="167"/>
      <c r="F52" s="59" t="s">
        <v>96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>
        <f t="shared" si="41"/>
      </c>
      <c r="L52" s="117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/>
      <c r="AF52" s="44">
        <f t="shared" si="43"/>
      </c>
      <c r="AG52" s="82">
        <f t="shared" si="43"/>
      </c>
      <c r="AH52" s="145"/>
      <c r="AI52" s="142"/>
      <c r="AJ52" s="143"/>
      <c r="AK52" s="146"/>
      <c r="AL52" s="146"/>
      <c r="AM52" s="135"/>
      <c r="AN52" s="133"/>
      <c r="AQ52" s="55"/>
      <c r="AR52" s="54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59" t="s">
        <v>16</v>
      </c>
      <c r="B53" s="159"/>
      <c r="C53" s="159"/>
      <c r="D53" s="159"/>
      <c r="E53" s="160"/>
      <c r="F53" s="64" t="s">
        <v>95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9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/>
      <c r="AF53" s="29">
        <f>VLOOKUP(ужин7,таб,16,FALSE)</f>
        <v>0</v>
      </c>
      <c r="AG53" s="86">
        <f>VLOOKUP(ужин8,таб,16,FALSE)</f>
        <v>0</v>
      </c>
      <c r="AH53" s="144">
        <v>612053</v>
      </c>
      <c r="AI53" s="142">
        <f>AK53/сред</f>
        <v>0</v>
      </c>
      <c r="AJ53" s="143"/>
      <c r="AK53" s="146">
        <f>SUM(G54:AG54)</f>
        <v>0</v>
      </c>
      <c r="AL53" s="146"/>
      <c r="AM53" s="134">
        <f>IF(AK53=0,0,Таблиця!Q267)</f>
        <v>0</v>
      </c>
      <c r="AN53" s="132">
        <f>AK53*AM53</f>
        <v>0</v>
      </c>
      <c r="AQ53" s="55"/>
      <c r="AR53" s="54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61"/>
      <c r="B54" s="161"/>
      <c r="C54" s="161"/>
      <c r="D54" s="161"/>
      <c r="E54" s="162"/>
      <c r="F54" s="59" t="s">
        <v>96</v>
      </c>
      <c r="G54" s="74">
        <f aca="true" t="shared" si="44" ref="G54:N54">IF(G53=0,"",завтракл*G53/1000)</f>
      </c>
      <c r="H54" s="47">
        <f t="shared" si="44"/>
      </c>
      <c r="I54" s="43">
        <f t="shared" si="44"/>
      </c>
      <c r="J54" s="47">
        <f t="shared" si="44"/>
      </c>
      <c r="K54" s="43">
        <f t="shared" si="44"/>
      </c>
      <c r="L54" s="118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/>
      <c r="AF54" s="43">
        <f t="shared" si="46"/>
      </c>
      <c r="AG54" s="85">
        <f t="shared" si="46"/>
      </c>
      <c r="AH54" s="145"/>
      <c r="AI54" s="142"/>
      <c r="AJ54" s="143"/>
      <c r="AK54" s="146"/>
      <c r="AL54" s="146"/>
      <c r="AM54" s="135"/>
      <c r="AN54" s="133"/>
      <c r="AQ54" s="55"/>
      <c r="AR54" s="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66" t="s">
        <v>17</v>
      </c>
      <c r="B55" s="166"/>
      <c r="C55" s="166"/>
      <c r="D55" s="166"/>
      <c r="E55" s="167"/>
      <c r="F55" s="64" t="s">
        <v>95</v>
      </c>
      <c r="G55" s="71">
        <f>VLOOKUP(завтрак1,таб,17,FALSE)</f>
        <v>15</v>
      </c>
      <c r="H55" s="32">
        <f>VLOOKUP(завтрак2,таб,17,FALSE)</f>
        <v>0</v>
      </c>
      <c r="I55" s="33">
        <f>VLOOKUP(завтрак3,таб,17,FALSE)</f>
        <v>0</v>
      </c>
      <c r="J55" s="32">
        <f>VLOOKUP(завтрак4,таб,17,FALSE)</f>
        <v>0</v>
      </c>
      <c r="K55" s="33"/>
      <c r="L55" s="120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0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/>
      <c r="AF55" s="33">
        <f>VLOOKUP(ужин7,таб,17,FALSE)</f>
        <v>0</v>
      </c>
      <c r="AG55" s="87">
        <f>VLOOKUP(ужин8,таб,17,FALSE)</f>
        <v>0</v>
      </c>
      <c r="AH55" s="144">
        <v>612060</v>
      </c>
      <c r="AI55" s="142">
        <f>AK55/сред</f>
        <v>0.01636363636363636</v>
      </c>
      <c r="AJ55" s="143"/>
      <c r="AK55" s="146">
        <f>SUM(G56:AG56)</f>
        <v>0.36</v>
      </c>
      <c r="AL55" s="146"/>
      <c r="AM55" s="134">
        <f>IF(AK55=0,0,Таблиця!R267)</f>
        <v>60.75</v>
      </c>
      <c r="AN55" s="132">
        <f>AK55*AM55</f>
        <v>21.869999999999997</v>
      </c>
      <c r="AQ55" s="55"/>
      <c r="AR55" s="54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66"/>
      <c r="B56" s="166"/>
      <c r="C56" s="166"/>
      <c r="D56" s="166"/>
      <c r="E56" s="167"/>
      <c r="F56" s="59" t="s">
        <v>96</v>
      </c>
      <c r="G56" s="72">
        <f aca="true" t="shared" si="47" ref="G56:N56">IF(G55=0,"",завтракл*G55/1000)</f>
        <v>0.36</v>
      </c>
      <c r="H56" s="45">
        <f t="shared" si="47"/>
      </c>
      <c r="I56" s="44">
        <f t="shared" si="47"/>
      </c>
      <c r="J56" s="45">
        <f t="shared" si="47"/>
      </c>
      <c r="K56" s="44">
        <f t="shared" si="47"/>
      </c>
      <c r="L56" s="117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/>
      <c r="AF56" s="44">
        <f t="shared" si="49"/>
      </c>
      <c r="AG56" s="82">
        <f t="shared" si="49"/>
      </c>
      <c r="AH56" s="145"/>
      <c r="AI56" s="142"/>
      <c r="AJ56" s="143"/>
      <c r="AK56" s="146"/>
      <c r="AL56" s="146"/>
      <c r="AM56" s="135"/>
      <c r="AN56" s="133"/>
      <c r="AQ56" s="54"/>
      <c r="AR56" s="54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59" t="s">
        <v>18</v>
      </c>
      <c r="B57" s="159"/>
      <c r="C57" s="159"/>
      <c r="D57" s="159"/>
      <c r="E57" s="160"/>
      <c r="F57" s="64" t="s">
        <v>95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0</v>
      </c>
      <c r="J57" s="35">
        <f>VLOOKUP(завтрак4,таб,18,FALSE)</f>
        <v>0</v>
      </c>
      <c r="K57" s="36">
        <f>VLOOKUP(завтрак5,таб,18,FALSE)</f>
        <v>0</v>
      </c>
      <c r="L57" s="121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/>
      <c r="AF57" s="36">
        <f>VLOOKUP(ужин7,таб,18,FALSE)</f>
        <v>0</v>
      </c>
      <c r="AG57" s="88">
        <f>VLOOKUP(ужин8,таб,18,FALSE)</f>
        <v>0</v>
      </c>
      <c r="AH57" s="144">
        <v>612087</v>
      </c>
      <c r="AI57" s="142">
        <f>AK57/сред</f>
        <v>0</v>
      </c>
      <c r="AJ57" s="143"/>
      <c r="AK57" s="146">
        <f>SUM(G58:AG58)</f>
        <v>0</v>
      </c>
      <c r="AL57" s="146"/>
      <c r="AM57" s="134">
        <f>IF(AK57=0,0,Таблиця!S267)</f>
        <v>0</v>
      </c>
      <c r="AN57" s="132">
        <f>AK57*AM57</f>
        <v>0</v>
      </c>
      <c r="AQ57" s="54"/>
      <c r="AR57" s="54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61"/>
      <c r="B58" s="161"/>
      <c r="C58" s="161"/>
      <c r="D58" s="161"/>
      <c r="E58" s="162"/>
      <c r="F58" s="59" t="s">
        <v>96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</c>
      <c r="J58" s="47">
        <f t="shared" si="50"/>
      </c>
      <c r="K58" s="43">
        <f t="shared" si="50"/>
      </c>
      <c r="L58" s="118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>
        <f t="shared" si="52"/>
      </c>
      <c r="AD58" s="43">
        <f t="shared" si="52"/>
      </c>
      <c r="AE58" s="47"/>
      <c r="AF58" s="43">
        <f t="shared" si="52"/>
      </c>
      <c r="AG58" s="85">
        <f t="shared" si="52"/>
      </c>
      <c r="AH58" s="145"/>
      <c r="AI58" s="142"/>
      <c r="AJ58" s="143"/>
      <c r="AK58" s="146"/>
      <c r="AL58" s="146"/>
      <c r="AM58" s="135"/>
      <c r="AN58" s="133"/>
      <c r="AQ58" s="55"/>
      <c r="AR58" s="54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66" t="s">
        <v>19</v>
      </c>
      <c r="B59" s="166"/>
      <c r="C59" s="166"/>
      <c r="D59" s="166"/>
      <c r="E59" s="167"/>
      <c r="F59" s="64" t="s">
        <v>95</v>
      </c>
      <c r="G59" s="71">
        <f>VLOOKUP(завтрак1,таб,19,FALSE)</f>
        <v>0</v>
      </c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20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/>
      <c r="AF59" s="33">
        <f>VLOOKUP(ужин7,таб,19,FALSE)</f>
        <v>0</v>
      </c>
      <c r="AG59" s="87">
        <f>VLOOKUP(ужин8,таб,19,FALSE)</f>
        <v>0</v>
      </c>
      <c r="AH59" s="144">
        <v>612075</v>
      </c>
      <c r="AI59" s="142">
        <f>AK59/сред</f>
        <v>0</v>
      </c>
      <c r="AJ59" s="143"/>
      <c r="AK59" s="146">
        <f>SUM(G60:AG60)</f>
        <v>0</v>
      </c>
      <c r="AL59" s="146"/>
      <c r="AM59" s="134">
        <f>IF(AK59=0,0,Таблиця!T267)</f>
        <v>0</v>
      </c>
      <c r="AN59" s="132">
        <f>AK59*AM59</f>
        <v>0</v>
      </c>
      <c r="AQ59" s="54"/>
      <c r="AR59" s="54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66"/>
      <c r="B60" s="166"/>
      <c r="C60" s="166"/>
      <c r="D60" s="166"/>
      <c r="E60" s="167"/>
      <c r="F60" s="59" t="s">
        <v>96</v>
      </c>
      <c r="G60" s="72">
        <f aca="true" t="shared" si="53" ref="G60:N60">IF(G59=0,"",завтракл*G59/1000)</f>
      </c>
      <c r="H60" s="45">
        <f t="shared" si="53"/>
      </c>
      <c r="I60" s="44">
        <f t="shared" si="53"/>
      </c>
      <c r="J60" s="45">
        <f t="shared" si="53"/>
      </c>
      <c r="K60" s="44">
        <f t="shared" si="53"/>
      </c>
      <c r="L60" s="117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/>
      <c r="AF60" s="44">
        <f t="shared" si="55"/>
      </c>
      <c r="AG60" s="82">
        <f t="shared" si="55"/>
      </c>
      <c r="AH60" s="145"/>
      <c r="AI60" s="142"/>
      <c r="AJ60" s="143"/>
      <c r="AK60" s="146"/>
      <c r="AL60" s="146"/>
      <c r="AM60" s="135"/>
      <c r="AN60" s="133"/>
      <c r="AQ60" s="55"/>
      <c r="AR60" s="54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66" t="s">
        <v>20</v>
      </c>
      <c r="B61" s="166"/>
      <c r="C61" s="166"/>
      <c r="D61" s="166"/>
      <c r="E61" s="167"/>
      <c r="F61" s="64" t="s">
        <v>98</v>
      </c>
      <c r="G61" s="71">
        <f>VLOOKUP(завтрак1,таб,20,FALSE)</f>
        <v>0</v>
      </c>
      <c r="H61" s="32">
        <f>VLOOKUP(завтрак2,таб,20,FALSE)</f>
        <v>0</v>
      </c>
      <c r="I61" s="33">
        <f>VLOOKUP(завтрак3,таб,20,FALSE)</f>
        <v>0</v>
      </c>
      <c r="J61" s="32">
        <f>VLOOKUP(завтрак4,таб,20,FALSE)</f>
        <v>0</v>
      </c>
      <c r="K61" s="33">
        <f>VLOOKUP(завтрак5,таб,20,FALSE)</f>
        <v>0</v>
      </c>
      <c r="L61" s="120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0.1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f>VLOOKUP(полдник1,таб,20,FALSE)</f>
        <v>0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f>VLOOKUP(ужин2,таб,20,FALSE)</f>
        <v>0</v>
      </c>
      <c r="AB61" s="33">
        <f>VLOOKUP(ужин3,таб,20,FALSE)</f>
        <v>0</v>
      </c>
      <c r="AC61" s="32">
        <f>VLOOKUP(ужин4,таб,20,FALSE)</f>
        <v>1</v>
      </c>
      <c r="AD61" s="33">
        <f>VLOOKUP(ужин5,таб,20,FALSE)</f>
        <v>0</v>
      </c>
      <c r="AE61" s="32"/>
      <c r="AF61" s="33">
        <f>VLOOKUP(ужин7,таб,20,FALSE)</f>
        <v>0</v>
      </c>
      <c r="AG61" s="87">
        <f>VLOOKUP(ужин8,таб,20,FALSE)</f>
        <v>0</v>
      </c>
      <c r="AH61" s="144">
        <v>612064</v>
      </c>
      <c r="AI61" s="142">
        <f>AK61/сред</f>
        <v>0.9272727272727272</v>
      </c>
      <c r="AJ61" s="143"/>
      <c r="AK61" s="221">
        <f>SUM(G62:AG62)</f>
        <v>20.4</v>
      </c>
      <c r="AL61" s="221"/>
      <c r="AM61" s="134">
        <f>IF(AK61=0,0,Таблиця!U267)</f>
        <v>4</v>
      </c>
      <c r="AN61" s="132">
        <f>AK61*AM61</f>
        <v>81.6</v>
      </c>
      <c r="AQ61" s="55"/>
      <c r="AR61" s="54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66"/>
      <c r="B62" s="166"/>
      <c r="C62" s="166"/>
      <c r="D62" s="166"/>
      <c r="E62" s="167"/>
      <c r="F62" s="59" t="s">
        <v>98</v>
      </c>
      <c r="G62" s="75">
        <f aca="true" t="shared" si="56" ref="G62:L62">IF(G61=0,"",завтракл*G61)</f>
      </c>
      <c r="H62" s="24">
        <f t="shared" si="56"/>
      </c>
      <c r="I62" s="23">
        <f t="shared" si="56"/>
      </c>
      <c r="J62" s="24">
        <f t="shared" si="56"/>
      </c>
      <c r="K62" s="23">
        <f t="shared" si="56"/>
      </c>
      <c r="L62" s="122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  <v>2.4000000000000004</v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</c>
      <c r="AC62" s="24">
        <f t="shared" si="58"/>
        <v>18</v>
      </c>
      <c r="AD62" s="23">
        <f t="shared" si="58"/>
      </c>
      <c r="AE62" s="24"/>
      <c r="AF62" s="23">
        <f t="shared" si="58"/>
      </c>
      <c r="AG62" s="83">
        <f t="shared" si="58"/>
      </c>
      <c r="AH62" s="145"/>
      <c r="AI62" s="142"/>
      <c r="AJ62" s="143"/>
      <c r="AK62" s="221"/>
      <c r="AL62" s="221"/>
      <c r="AM62" s="135"/>
      <c r="AN62" s="133"/>
      <c r="AQ62" s="54"/>
      <c r="AR62" s="54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59" t="s">
        <v>129</v>
      </c>
      <c r="B63" s="159"/>
      <c r="C63" s="159"/>
      <c r="D63" s="159"/>
      <c r="E63" s="160"/>
      <c r="F63" s="64" t="s">
        <v>95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21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/>
      <c r="AF63" s="36">
        <f>VLOOKUP(ужин7,таб,21,FALSE)</f>
        <v>0</v>
      </c>
      <c r="AG63" s="88">
        <f>VLOOKUP(ужин8,таб,21,FALSE)</f>
        <v>0</v>
      </c>
      <c r="AH63" s="144">
        <v>612112</v>
      </c>
      <c r="AI63" s="142">
        <f>AK63/сред</f>
        <v>0</v>
      </c>
      <c r="AJ63" s="143"/>
      <c r="AK63" s="146">
        <f>SUM(G64:AG64)</f>
        <v>0</v>
      </c>
      <c r="AL63" s="146"/>
      <c r="AM63" s="134">
        <f>IF(AK63=0,0,Таблиця!V267)</f>
        <v>0</v>
      </c>
      <c r="AN63" s="132">
        <f>AK63*AM63</f>
        <v>0</v>
      </c>
      <c r="AQ63" s="55"/>
      <c r="AR63" s="54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61"/>
      <c r="B64" s="161"/>
      <c r="C64" s="161"/>
      <c r="D64" s="161"/>
      <c r="E64" s="162"/>
      <c r="F64" s="59" t="s">
        <v>96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>
        <f t="shared" si="59"/>
      </c>
      <c r="L64" s="118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/>
      <c r="AF64" s="43">
        <f t="shared" si="61"/>
      </c>
      <c r="AG64" s="85">
        <f t="shared" si="61"/>
      </c>
      <c r="AH64" s="145"/>
      <c r="AI64" s="142"/>
      <c r="AJ64" s="143"/>
      <c r="AK64" s="146"/>
      <c r="AL64" s="146"/>
      <c r="AM64" s="135"/>
      <c r="AN64" s="133"/>
      <c r="AQ64" s="55"/>
      <c r="AR64" s="5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66" t="s">
        <v>60</v>
      </c>
      <c r="B65" s="166"/>
      <c r="C65" s="166"/>
      <c r="D65" s="166"/>
      <c r="E65" s="167"/>
      <c r="F65" s="64" t="s">
        <v>95</v>
      </c>
      <c r="G65" s="71">
        <f>VLOOKUP(завтрак1,таб,22,FALSE)</f>
        <v>0</v>
      </c>
      <c r="H65" s="32">
        <f>VLOOKUP(завтрак2,таб,22,FALSE)</f>
        <v>0</v>
      </c>
      <c r="I65" s="33">
        <f>VLOOKUP(завтрак3,таб,22,FALSE)</f>
        <v>0</v>
      </c>
      <c r="J65" s="32">
        <f>VLOOKUP(завтрак4,таб,22,FALSE)</f>
        <v>0</v>
      </c>
      <c r="K65" s="33"/>
      <c r="L65" s="120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0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0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/>
      <c r="AF65" s="33">
        <f>VLOOKUP(ужин7,таб,22,FALSE)</f>
        <v>0</v>
      </c>
      <c r="AG65" s="87">
        <f>VLOOKUP(ужин8,таб,22,FALSE)</f>
        <v>0</v>
      </c>
      <c r="AH65" s="144">
        <v>613001</v>
      </c>
      <c r="AI65" s="142">
        <f>AK65/сред</f>
        <v>0</v>
      </c>
      <c r="AJ65" s="143"/>
      <c r="AK65" s="146">
        <f>SUM(G66:AG66)</f>
        <v>0</v>
      </c>
      <c r="AL65" s="146"/>
      <c r="AM65" s="134">
        <f>IF(AK65=0,0,Таблиця!W267)</f>
        <v>0</v>
      </c>
      <c r="AN65" s="132">
        <f>AK65*AM65</f>
        <v>0</v>
      </c>
      <c r="AQ65" s="55"/>
      <c r="AR65" s="54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66"/>
      <c r="B66" s="166"/>
      <c r="C66" s="166"/>
      <c r="D66" s="166"/>
      <c r="E66" s="167"/>
      <c r="F66" s="59" t="s">
        <v>96</v>
      </c>
      <c r="G66" s="72">
        <f aca="true" t="shared" si="62" ref="G66:N66">IF(G65=0,"",завтракл*G65/1000)</f>
      </c>
      <c r="H66" s="45">
        <f t="shared" si="62"/>
      </c>
      <c r="I66" s="44">
        <f t="shared" si="62"/>
      </c>
      <c r="J66" s="45">
        <f t="shared" si="62"/>
      </c>
      <c r="K66" s="44">
        <f t="shared" si="62"/>
      </c>
      <c r="L66" s="117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/>
      <c r="AF66" s="44">
        <f t="shared" si="64"/>
      </c>
      <c r="AG66" s="82">
        <f t="shared" si="64"/>
      </c>
      <c r="AH66" s="145"/>
      <c r="AI66" s="142"/>
      <c r="AJ66" s="143"/>
      <c r="AK66" s="146"/>
      <c r="AL66" s="146"/>
      <c r="AM66" s="135"/>
      <c r="AN66" s="133"/>
      <c r="AQ66" s="55"/>
      <c r="AR66" s="54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59" t="s">
        <v>21</v>
      </c>
      <c r="B67" s="159"/>
      <c r="C67" s="159"/>
      <c r="D67" s="159"/>
      <c r="E67" s="160"/>
      <c r="F67" s="64" t="s">
        <v>95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21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f>VLOOKUP(обед4,таб,23,FALSE)</f>
        <v>0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0</v>
      </c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v>0.9</v>
      </c>
      <c r="AC67" s="35">
        <f>VLOOKUP(ужин4,таб,23,FALSE)</f>
        <v>0</v>
      </c>
      <c r="AD67" s="36">
        <f>VLOOKUP(ужин5,таб,23,FALSE)</f>
        <v>0</v>
      </c>
      <c r="AE67" s="35"/>
      <c r="AF67" s="36">
        <f>VLOOKUP(ужин7,таб,23,FALSE)</f>
        <v>0</v>
      </c>
      <c r="AG67" s="88">
        <f>VLOOKUP(ужин8,таб,23,FALSE)</f>
        <v>0</v>
      </c>
      <c r="AH67" s="144">
        <v>613016</v>
      </c>
      <c r="AI67" s="142">
        <f>AK67/сред</f>
        <v>0.0007363636363636363</v>
      </c>
      <c r="AJ67" s="143"/>
      <c r="AK67" s="146">
        <f>SUM(G68:AG68)</f>
        <v>0.0162</v>
      </c>
      <c r="AL67" s="146"/>
      <c r="AM67" s="134">
        <f>IF(AK67=0,0,Таблиця!X267)</f>
        <v>75</v>
      </c>
      <c r="AN67" s="132">
        <f>AK67*AM67</f>
        <v>1.2149999999999999</v>
      </c>
      <c r="AQ67" s="55"/>
      <c r="AR67" s="54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61"/>
      <c r="B68" s="161"/>
      <c r="C68" s="161"/>
      <c r="D68" s="161"/>
      <c r="E68" s="162"/>
      <c r="F68" s="59" t="s">
        <v>96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</c>
      <c r="J68" s="47">
        <f t="shared" si="65"/>
      </c>
      <c r="K68" s="43">
        <f t="shared" si="65"/>
      </c>
      <c r="L68" s="118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  <v>0.0162</v>
      </c>
      <c r="AC68" s="47">
        <f t="shared" si="67"/>
      </c>
      <c r="AD68" s="43">
        <f t="shared" si="67"/>
      </c>
      <c r="AE68" s="47"/>
      <c r="AF68" s="43">
        <f t="shared" si="67"/>
      </c>
      <c r="AG68" s="85">
        <f t="shared" si="67"/>
      </c>
      <c r="AH68" s="145"/>
      <c r="AI68" s="142"/>
      <c r="AJ68" s="143"/>
      <c r="AK68" s="146"/>
      <c r="AL68" s="146"/>
      <c r="AM68" s="135"/>
      <c r="AN68" s="133"/>
      <c r="AQ68" s="55"/>
      <c r="AR68" s="54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66" t="s">
        <v>22</v>
      </c>
      <c r="B69" s="166"/>
      <c r="C69" s="166"/>
      <c r="D69" s="166"/>
      <c r="E69" s="167"/>
      <c r="F69" s="64" t="s">
        <v>95</v>
      </c>
      <c r="G69" s="71">
        <f>VLOOKUP(завтрак1,таб,24,FALSE)</f>
        <v>0</v>
      </c>
      <c r="H69" s="32">
        <f>VLOOKUP(завтрак2,таб,24,FALSE)</f>
        <v>71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20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/>
      <c r="AF69" s="33">
        <f>VLOOKUP(ужин7,таб,24,FALSE)</f>
        <v>0</v>
      </c>
      <c r="AG69" s="87">
        <f>VLOOKUP(ужин8,таб,24,FALSE)</f>
        <v>0</v>
      </c>
      <c r="AH69" s="144">
        <v>613029</v>
      </c>
      <c r="AI69" s="142">
        <f>AK69/сред</f>
        <v>0.07745454545454546</v>
      </c>
      <c r="AJ69" s="143"/>
      <c r="AK69" s="146">
        <f>SUM(G70:AG70)</f>
        <v>1.704</v>
      </c>
      <c r="AL69" s="146"/>
      <c r="AM69" s="134">
        <f>IF(AK69=0,0,Таблиця!Y267)</f>
        <v>51.4</v>
      </c>
      <c r="AN69" s="132">
        <f>AK69*AM69</f>
        <v>87.5856</v>
      </c>
      <c r="AQ69" s="55"/>
      <c r="AR69" s="54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66"/>
      <c r="B70" s="166"/>
      <c r="C70" s="166"/>
      <c r="D70" s="166"/>
      <c r="E70" s="167"/>
      <c r="F70" s="59" t="s">
        <v>96</v>
      </c>
      <c r="G70" s="72">
        <f aca="true" t="shared" si="68" ref="G70:N70">IF(G69=0,"",завтракл*G69/1000)</f>
      </c>
      <c r="H70" s="45">
        <f t="shared" si="68"/>
        <v>1.704</v>
      </c>
      <c r="I70" s="44">
        <f t="shared" si="68"/>
      </c>
      <c r="J70" s="45">
        <f t="shared" si="68"/>
      </c>
      <c r="K70" s="44">
        <f t="shared" si="68"/>
      </c>
      <c r="L70" s="117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/>
      <c r="AF70" s="44">
        <f t="shared" si="70"/>
      </c>
      <c r="AG70" s="82">
        <f t="shared" si="70"/>
      </c>
      <c r="AH70" s="145"/>
      <c r="AI70" s="142"/>
      <c r="AJ70" s="143"/>
      <c r="AK70" s="146"/>
      <c r="AL70" s="146"/>
      <c r="AM70" s="135"/>
      <c r="AN70" s="133"/>
      <c r="AQ70" s="55"/>
      <c r="AR70" s="54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59" t="s">
        <v>23</v>
      </c>
      <c r="B71" s="159"/>
      <c r="C71" s="159"/>
      <c r="D71" s="159"/>
      <c r="E71" s="160"/>
      <c r="F71" s="64" t="s">
        <v>95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0</v>
      </c>
      <c r="J71" s="35">
        <f>VLOOKUP(завтрак4,таб,25,FALSE)</f>
        <v>0</v>
      </c>
      <c r="K71" s="36">
        <f>VLOOKUP(завтрак5,таб,25,FALSE)</f>
        <v>0</v>
      </c>
      <c r="L71" s="121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/>
      <c r="AF71" s="36">
        <f>VLOOKUP(ужин7,таб,25,FALSE)</f>
        <v>0</v>
      </c>
      <c r="AG71" s="88">
        <f>VLOOKUP(ужин8,таб,25,FALSE)</f>
        <v>0</v>
      </c>
      <c r="AH71" s="144">
        <v>613036</v>
      </c>
      <c r="AI71" s="142">
        <f>AK71/сред</f>
        <v>0</v>
      </c>
      <c r="AJ71" s="143"/>
      <c r="AK71" s="146">
        <f>SUM(G72:AG72)</f>
        <v>0</v>
      </c>
      <c r="AL71" s="146"/>
      <c r="AM71" s="134">
        <f>IF(AK71=0,0,Таблиця!Z267)</f>
        <v>0</v>
      </c>
      <c r="AN71" s="132">
        <f>AK71*AM71</f>
        <v>0</v>
      </c>
      <c r="AQ71" s="55"/>
      <c r="AR71" s="54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61"/>
      <c r="B72" s="161"/>
      <c r="C72" s="161"/>
      <c r="D72" s="161"/>
      <c r="E72" s="162"/>
      <c r="F72" s="59" t="s">
        <v>96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</c>
      <c r="J72" s="47">
        <f t="shared" si="71"/>
      </c>
      <c r="K72" s="43">
        <f t="shared" si="71"/>
      </c>
      <c r="L72" s="118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/>
      <c r="AF72" s="43">
        <f t="shared" si="73"/>
      </c>
      <c r="AG72" s="85">
        <f t="shared" si="73"/>
      </c>
      <c r="AH72" s="145"/>
      <c r="AI72" s="142"/>
      <c r="AJ72" s="143"/>
      <c r="AK72" s="146"/>
      <c r="AL72" s="146"/>
      <c r="AM72" s="135"/>
      <c r="AN72" s="133"/>
      <c r="AQ72" s="55"/>
      <c r="AR72" s="54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66" t="s">
        <v>27</v>
      </c>
      <c r="B73" s="166"/>
      <c r="C73" s="166"/>
      <c r="D73" s="166"/>
      <c r="E73" s="167"/>
      <c r="F73" s="64" t="s">
        <v>95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20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/>
      <c r="AF73" s="33">
        <f>VLOOKUP(ужин7,таб,26,FALSE)</f>
        <v>0</v>
      </c>
      <c r="AG73" s="87">
        <f>VLOOKUP(ужин8,таб,26,FALSE)</f>
        <v>0</v>
      </c>
      <c r="AH73" s="144"/>
      <c r="AI73" s="142">
        <f>AK73/сред</f>
        <v>0</v>
      </c>
      <c r="AJ73" s="143"/>
      <c r="AK73" s="146">
        <f>SUM(G74:AG74)</f>
        <v>0</v>
      </c>
      <c r="AL73" s="146"/>
      <c r="AM73" s="134">
        <f>IF(AK73=0,0,Таблиця!AA267)</f>
        <v>0</v>
      </c>
      <c r="AN73" s="132">
        <f>AK73*AM73</f>
        <v>0</v>
      </c>
      <c r="AQ73" s="54"/>
      <c r="AR73" s="54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66"/>
      <c r="B74" s="166"/>
      <c r="C74" s="166"/>
      <c r="D74" s="166"/>
      <c r="E74" s="167"/>
      <c r="F74" s="59" t="s">
        <v>96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>
        <f t="shared" si="74"/>
      </c>
      <c r="L74" s="117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/>
      <c r="AF74" s="44">
        <f t="shared" si="76"/>
      </c>
      <c r="AG74" s="82">
        <f t="shared" si="76"/>
      </c>
      <c r="AH74" s="145"/>
      <c r="AI74" s="142"/>
      <c r="AJ74" s="143"/>
      <c r="AK74" s="146"/>
      <c r="AL74" s="146"/>
      <c r="AM74" s="135"/>
      <c r="AN74" s="133"/>
      <c r="AQ74" s="55"/>
      <c r="AR74" s="5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66" t="s">
        <v>63</v>
      </c>
      <c r="B75" s="166"/>
      <c r="C75" s="166"/>
      <c r="D75" s="166"/>
      <c r="E75" s="167"/>
      <c r="F75" s="64" t="s">
        <v>95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20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60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/>
      <c r="AF75" s="33">
        <f>VLOOKUP(ужин7,таб,73,FALSE)</f>
        <v>0</v>
      </c>
      <c r="AG75" s="87">
        <f>VLOOKUP(ужин8,таб,73,FALSE)</f>
        <v>0</v>
      </c>
      <c r="AH75" s="144"/>
      <c r="AI75" s="142">
        <f>AK75/сред</f>
        <v>0.06545454545454545</v>
      </c>
      <c r="AJ75" s="143"/>
      <c r="AK75" s="146">
        <f>SUM(G76:AG76)</f>
        <v>1.44</v>
      </c>
      <c r="AL75" s="146"/>
      <c r="AM75" s="134">
        <f>IF(AK75=0,0,Таблиця!BV267)</f>
        <v>16.4</v>
      </c>
      <c r="AN75" s="132">
        <f>AK75*AM75</f>
        <v>23.615999999999996</v>
      </c>
      <c r="AQ75" s="55"/>
      <c r="AR75" s="54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66"/>
      <c r="B76" s="166"/>
      <c r="C76" s="166"/>
      <c r="D76" s="166"/>
      <c r="E76" s="167"/>
      <c r="F76" s="59" t="s">
        <v>96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>
        <f t="shared" si="77"/>
      </c>
      <c r="L76" s="117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  <v>1.44</v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/>
      <c r="AF76" s="44">
        <f t="shared" si="79"/>
      </c>
      <c r="AG76" s="82">
        <f t="shared" si="79"/>
      </c>
      <c r="AH76" s="145"/>
      <c r="AI76" s="142"/>
      <c r="AJ76" s="143"/>
      <c r="AK76" s="146"/>
      <c r="AL76" s="146"/>
      <c r="AM76" s="135"/>
      <c r="AN76" s="133"/>
      <c r="AQ76" s="55"/>
      <c r="AR76" s="54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59" t="s">
        <v>64</v>
      </c>
      <c r="B77" s="159"/>
      <c r="C77" s="159"/>
      <c r="D77" s="159"/>
      <c r="E77" s="160"/>
      <c r="F77" s="64" t="s">
        <v>95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21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/>
      <c r="AF77" s="36">
        <f>VLOOKUP(ужин7,таб,72,FALSE)</f>
        <v>0</v>
      </c>
      <c r="AG77" s="88">
        <f>VLOOKUP(ужин8,таб,72,FALSE)</f>
        <v>0</v>
      </c>
      <c r="AH77" s="144"/>
      <c r="AI77" s="142">
        <f>AK77/сред</f>
        <v>0</v>
      </c>
      <c r="AJ77" s="143"/>
      <c r="AK77" s="146">
        <f>SUM(G78:AG78)</f>
        <v>0</v>
      </c>
      <c r="AL77" s="146"/>
      <c r="AM77" s="134">
        <f>IF(AK77=0,0,Таблиця!BU267)</f>
        <v>0</v>
      </c>
      <c r="AN77" s="132">
        <f>AK77*AM77</f>
        <v>0</v>
      </c>
      <c r="AQ77" s="55"/>
      <c r="AR77" s="54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61"/>
      <c r="B78" s="161"/>
      <c r="C78" s="161"/>
      <c r="D78" s="161"/>
      <c r="E78" s="162"/>
      <c r="F78" s="59" t="s">
        <v>96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>
        <f t="shared" si="80"/>
      </c>
      <c r="L78" s="118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/>
      <c r="AF78" s="43">
        <f t="shared" si="82"/>
      </c>
      <c r="AG78" s="85">
        <f t="shared" si="82"/>
      </c>
      <c r="AH78" s="145"/>
      <c r="AI78" s="142"/>
      <c r="AJ78" s="143"/>
      <c r="AK78" s="146"/>
      <c r="AL78" s="146"/>
      <c r="AM78" s="135"/>
      <c r="AN78" s="133"/>
      <c r="AQ78" s="55"/>
      <c r="AR78" s="54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66" t="s">
        <v>65</v>
      </c>
      <c r="B79" s="166"/>
      <c r="C79" s="166"/>
      <c r="D79" s="166"/>
      <c r="E79" s="167"/>
      <c r="F79" s="64" t="s">
        <v>95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20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/>
      <c r="AF79" s="33">
        <f>VLOOKUP(ужин7,таб,74,FALSE)</f>
        <v>0</v>
      </c>
      <c r="AG79" s="87">
        <f>VLOOKUP(ужин8,таб,74,FALSE)</f>
        <v>0</v>
      </c>
      <c r="AH79" s="144">
        <v>613052</v>
      </c>
      <c r="AI79" s="142">
        <f>AK79/сред</f>
        <v>0</v>
      </c>
      <c r="AJ79" s="143"/>
      <c r="AK79" s="146">
        <f>SUM(G80:AG80)</f>
        <v>0</v>
      </c>
      <c r="AL79" s="146"/>
      <c r="AM79" s="134">
        <f>IF(AK79=0,0,Таблиця!BW267)</f>
        <v>0</v>
      </c>
      <c r="AN79" s="132">
        <f>AK79*AM79</f>
        <v>0</v>
      </c>
      <c r="AQ79" s="54"/>
      <c r="AR79" s="54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66"/>
      <c r="B80" s="166"/>
      <c r="C80" s="166"/>
      <c r="D80" s="166"/>
      <c r="E80" s="167"/>
      <c r="F80" s="59" t="s">
        <v>96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>
        <f t="shared" si="83"/>
      </c>
      <c r="L80" s="117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/>
      <c r="AF80" s="44">
        <f t="shared" si="85"/>
      </c>
      <c r="AG80" s="82">
        <f t="shared" si="85"/>
      </c>
      <c r="AH80" s="145"/>
      <c r="AI80" s="142"/>
      <c r="AJ80" s="143"/>
      <c r="AK80" s="146"/>
      <c r="AL80" s="146"/>
      <c r="AM80" s="135"/>
      <c r="AN80" s="133"/>
      <c r="AQ80" s="55"/>
      <c r="AR80" s="54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59" t="s">
        <v>24</v>
      </c>
      <c r="B81" s="159"/>
      <c r="C81" s="159"/>
      <c r="D81" s="159"/>
      <c r="E81" s="160"/>
      <c r="F81" s="64" t="s">
        <v>95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21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60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/>
      <c r="AF81" s="36">
        <f>VLOOKUP(ужин7,таб,27,FALSE)</f>
        <v>0</v>
      </c>
      <c r="AG81" s="88">
        <f>VLOOKUP(ужин8,таб,27,FALSE)</f>
        <v>0</v>
      </c>
      <c r="AH81" s="144">
        <v>603015</v>
      </c>
      <c r="AI81" s="142">
        <f>AK81/сред</f>
        <v>0.049090909090909095</v>
      </c>
      <c r="AJ81" s="143"/>
      <c r="AK81" s="146">
        <f>SUM(G82:AG82)</f>
        <v>1.08</v>
      </c>
      <c r="AL81" s="146"/>
      <c r="AM81" s="134">
        <f>IF(AK81=0,0,Таблиця!AB267)</f>
        <v>20.3</v>
      </c>
      <c r="AN81" s="132">
        <f>AK81*AM81</f>
        <v>21.924000000000003</v>
      </c>
      <c r="AQ81" s="55"/>
      <c r="AR81" s="54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61"/>
      <c r="B82" s="161"/>
      <c r="C82" s="161"/>
      <c r="D82" s="161"/>
      <c r="E82" s="162"/>
      <c r="F82" s="59" t="s">
        <v>96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>
        <f t="shared" si="86"/>
      </c>
      <c r="L82" s="118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  <v>1.08</v>
      </c>
      <c r="AB82" s="43">
        <f t="shared" si="88"/>
      </c>
      <c r="AC82" s="47">
        <f t="shared" si="88"/>
      </c>
      <c r="AD82" s="43">
        <f t="shared" si="88"/>
      </c>
      <c r="AE82" s="47"/>
      <c r="AF82" s="43">
        <f t="shared" si="88"/>
      </c>
      <c r="AG82" s="85">
        <f t="shared" si="88"/>
      </c>
      <c r="AH82" s="145"/>
      <c r="AI82" s="142"/>
      <c r="AJ82" s="143"/>
      <c r="AK82" s="146"/>
      <c r="AL82" s="146"/>
      <c r="AM82" s="135"/>
      <c r="AN82" s="133"/>
      <c r="AQ82" s="55"/>
      <c r="AR82" s="54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66" t="s">
        <v>26</v>
      </c>
      <c r="B83" s="166"/>
      <c r="C83" s="166"/>
      <c r="D83" s="166"/>
      <c r="E83" s="167"/>
      <c r="F83" s="64" t="s">
        <v>95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20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0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/>
      <c r="AF83" s="33">
        <f>VLOOKUP(ужин7,таб,28,FALSE)</f>
        <v>0</v>
      </c>
      <c r="AG83" s="87">
        <f>VLOOKUP(ужин8,таб,28,FALSE)</f>
        <v>0</v>
      </c>
      <c r="AH83" s="144">
        <v>613046</v>
      </c>
      <c r="AI83" s="142">
        <f>AK83/сред</f>
        <v>0</v>
      </c>
      <c r="AJ83" s="143"/>
      <c r="AK83" s="146">
        <f>SUM(G84:AG84)</f>
        <v>0</v>
      </c>
      <c r="AL83" s="146"/>
      <c r="AM83" s="134">
        <f>IF(AK83=0,0,Таблиця!AC267)</f>
        <v>0</v>
      </c>
      <c r="AN83" s="132">
        <f>AK83*AM83</f>
        <v>0</v>
      </c>
      <c r="AQ83" s="55"/>
      <c r="AR83" s="54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66"/>
      <c r="B84" s="166"/>
      <c r="C84" s="166"/>
      <c r="D84" s="166"/>
      <c r="E84" s="167"/>
      <c r="F84" s="59" t="s">
        <v>96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</c>
      <c r="J84" s="45">
        <f t="shared" si="89"/>
      </c>
      <c r="K84" s="44">
        <f t="shared" si="89"/>
      </c>
      <c r="L84" s="117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/>
      <c r="AF84" s="44">
        <f t="shared" si="91"/>
      </c>
      <c r="AG84" s="82">
        <f t="shared" si="91"/>
      </c>
      <c r="AH84" s="145"/>
      <c r="AI84" s="142"/>
      <c r="AJ84" s="143"/>
      <c r="AK84" s="146"/>
      <c r="AL84" s="146"/>
      <c r="AM84" s="135"/>
      <c r="AN84" s="133"/>
      <c r="AQ84" s="55"/>
      <c r="AR84" s="5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59" t="s">
        <v>25</v>
      </c>
      <c r="B85" s="159"/>
      <c r="C85" s="159"/>
      <c r="D85" s="159"/>
      <c r="E85" s="160"/>
      <c r="F85" s="64" t="s">
        <v>95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21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/>
      <c r="AF85" s="36">
        <f>VLOOKUP(ужин7,таб,29,FALSE)</f>
        <v>0</v>
      </c>
      <c r="AG85" s="88">
        <f>VLOOKUP(ужин8,таб,29,FALSE)</f>
        <v>0</v>
      </c>
      <c r="AH85" s="144">
        <v>613052</v>
      </c>
      <c r="AI85" s="142">
        <f>AK85/сред</f>
        <v>0</v>
      </c>
      <c r="AJ85" s="143"/>
      <c r="AK85" s="146">
        <f>SUM(G86:AG86)</f>
        <v>0</v>
      </c>
      <c r="AL85" s="146"/>
      <c r="AM85" s="134">
        <f>IF(AK85=0,0,Таблиця!AD267)</f>
        <v>0</v>
      </c>
      <c r="AN85" s="132">
        <f>AK85*AM85</f>
        <v>0</v>
      </c>
      <c r="AQ85" s="55"/>
      <c r="AR85" s="54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61"/>
      <c r="B86" s="161"/>
      <c r="C86" s="161"/>
      <c r="D86" s="161"/>
      <c r="E86" s="162"/>
      <c r="F86" s="59" t="s">
        <v>96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>
        <f t="shared" si="92"/>
      </c>
      <c r="L86" s="118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/>
      <c r="AF86" s="43">
        <f t="shared" si="94"/>
      </c>
      <c r="AG86" s="85">
        <f t="shared" si="94"/>
      </c>
      <c r="AH86" s="145"/>
      <c r="AI86" s="142"/>
      <c r="AJ86" s="143"/>
      <c r="AK86" s="146"/>
      <c r="AL86" s="146"/>
      <c r="AM86" s="135"/>
      <c r="AN86" s="133"/>
      <c r="AQ86" s="55"/>
      <c r="AR86" s="54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66" t="s">
        <v>434</v>
      </c>
      <c r="B87" s="166"/>
      <c r="C87" s="166"/>
      <c r="D87" s="166"/>
      <c r="E87" s="167"/>
      <c r="F87" s="64" t="s">
        <v>95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20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/>
      <c r="AF87" s="33">
        <f>VLOOKUP(ужин7,таб,30,FALSE)</f>
        <v>0</v>
      </c>
      <c r="AG87" s="87">
        <f>VLOOKUP(ужин8,таб,30,FALSE)</f>
        <v>0</v>
      </c>
      <c r="AH87" s="144">
        <v>613068</v>
      </c>
      <c r="AI87" s="142">
        <f>AK87/сред</f>
        <v>0</v>
      </c>
      <c r="AJ87" s="143"/>
      <c r="AK87" s="146">
        <f>SUM(G88:AG88)</f>
        <v>0</v>
      </c>
      <c r="AL87" s="146"/>
      <c r="AM87" s="134">
        <f>IF(AK87=0,0,Таблиця!AE267)</f>
        <v>0</v>
      </c>
      <c r="AN87" s="132">
        <f>AK87*AM87</f>
        <v>0</v>
      </c>
      <c r="AQ87" s="55"/>
      <c r="AR87" s="54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66"/>
      <c r="B88" s="166"/>
      <c r="C88" s="166"/>
      <c r="D88" s="166"/>
      <c r="E88" s="167"/>
      <c r="F88" s="59" t="s">
        <v>96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</c>
      <c r="K88" s="44">
        <f t="shared" si="95"/>
      </c>
      <c r="L88" s="117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5"/>
      <c r="AI88" s="142"/>
      <c r="AJ88" s="143"/>
      <c r="AK88" s="146"/>
      <c r="AL88" s="146"/>
      <c r="AM88" s="135"/>
      <c r="AN88" s="133"/>
      <c r="AQ88" s="55"/>
      <c r="AR88" s="54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224">
        <v>1</v>
      </c>
      <c r="B89" s="224"/>
      <c r="C89" s="224"/>
      <c r="D89" s="224"/>
      <c r="E89" s="225"/>
      <c r="F89" s="147">
        <v>2</v>
      </c>
      <c r="G89" s="149">
        <v>3</v>
      </c>
      <c r="H89" s="153">
        <v>4</v>
      </c>
      <c r="I89" s="153">
        <v>5</v>
      </c>
      <c r="J89" s="153">
        <v>6</v>
      </c>
      <c r="K89" s="153">
        <v>7</v>
      </c>
      <c r="L89" s="147">
        <v>8</v>
      </c>
      <c r="M89" s="149">
        <v>9</v>
      </c>
      <c r="N89" s="151">
        <v>10</v>
      </c>
      <c r="O89" s="157">
        <v>11</v>
      </c>
      <c r="P89" s="153">
        <v>12</v>
      </c>
      <c r="Q89" s="153">
        <v>13</v>
      </c>
      <c r="R89" s="153">
        <v>14</v>
      </c>
      <c r="S89" s="153">
        <v>15</v>
      </c>
      <c r="T89" s="153">
        <v>16</v>
      </c>
      <c r="U89" s="153">
        <v>17</v>
      </c>
      <c r="V89" s="151">
        <v>18</v>
      </c>
      <c r="W89" s="157">
        <v>19</v>
      </c>
      <c r="X89" s="153">
        <v>20</v>
      </c>
      <c r="Y89" s="151">
        <v>21</v>
      </c>
      <c r="Z89" s="157">
        <v>22</v>
      </c>
      <c r="AA89" s="153">
        <v>23</v>
      </c>
      <c r="AB89" s="153">
        <v>24</v>
      </c>
      <c r="AC89" s="153">
        <v>25</v>
      </c>
      <c r="AD89" s="153">
        <v>26</v>
      </c>
      <c r="AE89" s="153">
        <v>27</v>
      </c>
      <c r="AF89" s="153">
        <v>28</v>
      </c>
      <c r="AG89" s="151">
        <v>29</v>
      </c>
      <c r="AH89" s="144"/>
      <c r="AI89" s="142"/>
      <c r="AJ89" s="143"/>
      <c r="AK89" s="146"/>
      <c r="AL89" s="146"/>
      <c r="AM89" s="134"/>
      <c r="AN89" s="132"/>
      <c r="AQ89" s="55"/>
      <c r="AR89" s="54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224"/>
      <c r="B90" s="224"/>
      <c r="C90" s="224"/>
      <c r="D90" s="224"/>
      <c r="E90" s="225"/>
      <c r="F90" s="148"/>
      <c r="G90" s="150"/>
      <c r="H90" s="154"/>
      <c r="I90" s="154"/>
      <c r="J90" s="154"/>
      <c r="K90" s="154"/>
      <c r="L90" s="148"/>
      <c r="M90" s="150"/>
      <c r="N90" s="152"/>
      <c r="O90" s="158"/>
      <c r="P90" s="154"/>
      <c r="Q90" s="154"/>
      <c r="R90" s="154"/>
      <c r="S90" s="154"/>
      <c r="T90" s="154"/>
      <c r="U90" s="154"/>
      <c r="V90" s="152"/>
      <c r="W90" s="158"/>
      <c r="X90" s="154"/>
      <c r="Y90" s="152"/>
      <c r="Z90" s="158"/>
      <c r="AA90" s="154"/>
      <c r="AB90" s="154"/>
      <c r="AC90" s="154"/>
      <c r="AD90" s="154"/>
      <c r="AE90" s="154"/>
      <c r="AF90" s="154"/>
      <c r="AG90" s="152"/>
      <c r="AH90" s="145"/>
      <c r="AI90" s="142"/>
      <c r="AJ90" s="143"/>
      <c r="AK90" s="146"/>
      <c r="AL90" s="146"/>
      <c r="AM90" s="135"/>
      <c r="AN90" s="133"/>
      <c r="AQ90" s="55"/>
      <c r="AR90" s="54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59" t="s">
        <v>0</v>
      </c>
      <c r="B91" s="159"/>
      <c r="C91" s="159"/>
      <c r="D91" s="159"/>
      <c r="E91" s="160"/>
      <c r="F91" s="64" t="s">
        <v>95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21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15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/>
      <c r="AF91" s="36">
        <f>VLOOKUP(ужин7,таб,31,FALSE)</f>
        <v>0</v>
      </c>
      <c r="AG91" s="88">
        <f>VLOOKUP(ужин8,таб,31,FALSE)</f>
        <v>0</v>
      </c>
      <c r="AH91" s="144">
        <v>613072</v>
      </c>
      <c r="AI91" s="222">
        <f>AK91/сред</f>
        <v>0.01636363636363636</v>
      </c>
      <c r="AJ91" s="223"/>
      <c r="AK91" s="133">
        <f>SUM(G92:AG92)</f>
        <v>0.36</v>
      </c>
      <c r="AL91" s="133"/>
      <c r="AM91" s="134">
        <f>IF(AK91=0,0,Таблиця!AF267)</f>
        <v>17</v>
      </c>
      <c r="AN91" s="132">
        <f>AK91*AM91</f>
        <v>6.12</v>
      </c>
      <c r="AQ91" s="55"/>
      <c r="AR91" s="54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61"/>
      <c r="B92" s="161"/>
      <c r="C92" s="161"/>
      <c r="D92" s="161"/>
      <c r="E92" s="162"/>
      <c r="F92" s="59" t="s">
        <v>96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>
        <f t="shared" si="98"/>
      </c>
      <c r="L92" s="118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  <v>0.36</v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/>
      <c r="AF92" s="43">
        <f t="shared" si="100"/>
      </c>
      <c r="AG92" s="85">
        <f t="shared" si="100"/>
      </c>
      <c r="AH92" s="145"/>
      <c r="AI92" s="142"/>
      <c r="AJ92" s="143"/>
      <c r="AK92" s="146"/>
      <c r="AL92" s="146"/>
      <c r="AM92" s="135"/>
      <c r="AN92" s="133"/>
      <c r="AQ92" s="55"/>
      <c r="AR92" s="54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66" t="s">
        <v>127</v>
      </c>
      <c r="B93" s="166"/>
      <c r="C93" s="166"/>
      <c r="D93" s="166"/>
      <c r="E93" s="167"/>
      <c r="F93" s="64" t="s">
        <v>95</v>
      </c>
      <c r="G93" s="71">
        <f>VLOOKUP(завтрак1,таб,69,FALSE)</f>
        <v>0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20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/>
      <c r="AF93" s="33">
        <f>VLOOKUP(ужин7,таб,69,FALSE)</f>
        <v>0</v>
      </c>
      <c r="AG93" s="87">
        <f>VLOOKUP(ужин8,таб,69,FALSE)</f>
        <v>0</v>
      </c>
      <c r="AH93" s="144"/>
      <c r="AI93" s="142">
        <f>AK93/сред</f>
        <v>0</v>
      </c>
      <c r="AJ93" s="143"/>
      <c r="AK93" s="146">
        <f>SUM(G94:AG94)</f>
        <v>0</v>
      </c>
      <c r="AL93" s="146"/>
      <c r="AM93" s="132">
        <f>IF(AK93=0,0,Таблиця!BR267)</f>
        <v>0</v>
      </c>
      <c r="AN93" s="132">
        <f>AK93*AM93</f>
        <v>0</v>
      </c>
      <c r="AQ93" s="55"/>
      <c r="AR93" s="54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66"/>
      <c r="B94" s="166"/>
      <c r="C94" s="166"/>
      <c r="D94" s="166"/>
      <c r="E94" s="167"/>
      <c r="F94" s="59" t="s">
        <v>96</v>
      </c>
      <c r="G94" s="72">
        <f aca="true" t="shared" si="101" ref="G94:N94">IF(G93=0,"",завтракл*G93/1000)</f>
      </c>
      <c r="H94" s="45">
        <f t="shared" si="101"/>
      </c>
      <c r="I94" s="44">
        <f t="shared" si="101"/>
      </c>
      <c r="J94" s="45">
        <f t="shared" si="101"/>
      </c>
      <c r="K94" s="44">
        <f t="shared" si="101"/>
      </c>
      <c r="L94" s="117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/>
      <c r="AF94" s="44">
        <f t="shared" si="103"/>
      </c>
      <c r="AG94" s="82">
        <f t="shared" si="103"/>
      </c>
      <c r="AH94" s="145"/>
      <c r="AI94" s="142"/>
      <c r="AJ94" s="143"/>
      <c r="AK94" s="146"/>
      <c r="AL94" s="146"/>
      <c r="AM94" s="133"/>
      <c r="AN94" s="133"/>
      <c r="AQ94" s="55"/>
      <c r="AR94" s="5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59" t="s">
        <v>126</v>
      </c>
      <c r="B95" s="159"/>
      <c r="C95" s="159"/>
      <c r="D95" s="159"/>
      <c r="E95" s="160"/>
      <c r="F95" s="64" t="s">
        <v>95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21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/>
      <c r="Q95" s="35">
        <f>VLOOKUP(обед3,таб,32,FALSE)</f>
        <v>0</v>
      </c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/>
      <c r="AC95" s="35">
        <f>VLOOKUP(ужин4,таб,32,FALSE)</f>
        <v>0</v>
      </c>
      <c r="AD95" s="36">
        <f>VLOOKUP(ужин5,таб,32,FALSE)</f>
        <v>0</v>
      </c>
      <c r="AE95" s="35"/>
      <c r="AF95" s="36">
        <f>VLOOKUP(ужин7,таб,32,FALSE)</f>
        <v>0</v>
      </c>
      <c r="AG95" s="88">
        <f>VLOOKUP(ужин8,таб,32,FALSE)</f>
        <v>0</v>
      </c>
      <c r="AH95" s="144">
        <v>614001</v>
      </c>
      <c r="AI95" s="142">
        <f>AK95/сред</f>
        <v>0</v>
      </c>
      <c r="AJ95" s="143"/>
      <c r="AK95" s="146">
        <f>SUM(G96:AG96)</f>
        <v>0</v>
      </c>
      <c r="AL95" s="146"/>
      <c r="AM95" s="134">
        <f>IF(AK95=0,0,Таблиця!EF267)</f>
        <v>0</v>
      </c>
      <c r="AN95" s="132">
        <f>AK95*AM95</f>
        <v>0</v>
      </c>
      <c r="AQ95" s="55"/>
      <c r="AR95" s="54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61"/>
      <c r="B96" s="161"/>
      <c r="C96" s="161"/>
      <c r="D96" s="161"/>
      <c r="E96" s="162"/>
      <c r="F96" s="59" t="s">
        <v>96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>
        <f t="shared" si="104"/>
      </c>
      <c r="L96" s="118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/>
      <c r="AF96" s="43">
        <f t="shared" si="106"/>
      </c>
      <c r="AG96" s="85">
        <f t="shared" si="106"/>
      </c>
      <c r="AH96" s="145"/>
      <c r="AI96" s="142"/>
      <c r="AJ96" s="143"/>
      <c r="AK96" s="146"/>
      <c r="AL96" s="146"/>
      <c r="AM96" s="135"/>
      <c r="AN96" s="133"/>
      <c r="AQ96" s="55"/>
      <c r="AR96" s="54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66" t="s">
        <v>28</v>
      </c>
      <c r="B97" s="166"/>
      <c r="C97" s="166"/>
      <c r="D97" s="166"/>
      <c r="E97" s="167"/>
      <c r="F97" s="64" t="s">
        <v>95</v>
      </c>
      <c r="G97" s="71">
        <f>VLOOKUP(завтрак1,таб,33,FALSE)</f>
        <v>1</v>
      </c>
      <c r="H97" s="32">
        <f>VLOOKUP(завтрак2,таб,33,FALSE)</f>
        <v>0</v>
      </c>
      <c r="I97" s="33">
        <f>VLOOKUP(завтрак3,таб,33,FALSE)</f>
        <v>1.2</v>
      </c>
      <c r="J97" s="32">
        <f>VLOOKUP(завтрак4,таб,33,FALSE)</f>
        <v>0</v>
      </c>
      <c r="K97" s="33"/>
      <c r="L97" s="120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>
        <f>VLOOKUP(обед4,таб,33,FALSE)</f>
        <v>0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f>VLOOKUP(полдник1,таб,33,FALSE)</f>
        <v>0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0</v>
      </c>
      <c r="AC97" s="32">
        <f>VLOOKUP(ужин4,таб,33,FALSE)</f>
        <v>0</v>
      </c>
      <c r="AD97" s="33">
        <f>VLOOKUP(ужин5,таб,33,FALSE)</f>
        <v>0</v>
      </c>
      <c r="AE97" s="32"/>
      <c r="AF97" s="33">
        <f>VLOOKUP(ужин7,таб,33,FALSE)</f>
        <v>0</v>
      </c>
      <c r="AG97" s="87">
        <f>VLOOKUP(ужин8,таб,33,FALSE)</f>
        <v>0</v>
      </c>
      <c r="AH97" s="144">
        <v>614002</v>
      </c>
      <c r="AI97" s="142">
        <f>AK97/сред</f>
        <v>0.0024</v>
      </c>
      <c r="AJ97" s="143"/>
      <c r="AK97" s="146">
        <f>SUM(G98:AG98)</f>
        <v>0.0528</v>
      </c>
      <c r="AL97" s="146"/>
      <c r="AM97" s="134">
        <f>IF(AK97=0,0,Таблиця!AH267)</f>
        <v>26.4</v>
      </c>
      <c r="AN97" s="132">
        <f>AK97*AM97</f>
        <v>1.3939199999999998</v>
      </c>
      <c r="AQ97" s="55"/>
      <c r="AR97" s="54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66"/>
      <c r="B98" s="166"/>
      <c r="C98" s="166"/>
      <c r="D98" s="166"/>
      <c r="E98" s="167"/>
      <c r="F98" s="59" t="s">
        <v>96</v>
      </c>
      <c r="G98" s="72">
        <f aca="true" t="shared" si="107" ref="G98:N98">IF(G97=0,"",завтракл*G97/1000)</f>
        <v>0.024</v>
      </c>
      <c r="H98" s="45">
        <f t="shared" si="107"/>
      </c>
      <c r="I98" s="44">
        <f t="shared" si="107"/>
        <v>0.028799999999999996</v>
      </c>
      <c r="J98" s="45">
        <f t="shared" si="107"/>
      </c>
      <c r="K98" s="44">
        <f t="shared" si="107"/>
      </c>
      <c r="L98" s="117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>
        <f t="shared" si="108"/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</c>
      <c r="AC98" s="45">
        <f t="shared" si="109"/>
      </c>
      <c r="AD98" s="44">
        <f t="shared" si="109"/>
      </c>
      <c r="AE98" s="45"/>
      <c r="AF98" s="44">
        <f t="shared" si="109"/>
      </c>
      <c r="AG98" s="82">
        <f t="shared" si="109"/>
      </c>
      <c r="AH98" s="145"/>
      <c r="AI98" s="142"/>
      <c r="AJ98" s="143"/>
      <c r="AK98" s="146"/>
      <c r="AL98" s="146"/>
      <c r="AM98" s="135"/>
      <c r="AN98" s="133"/>
      <c r="AQ98" s="55"/>
      <c r="AR98" s="54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59" t="s">
        <v>29</v>
      </c>
      <c r="B99" s="159"/>
      <c r="C99" s="159"/>
      <c r="D99" s="159"/>
      <c r="E99" s="160"/>
      <c r="F99" s="64" t="s">
        <v>95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21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/>
      <c r="AF99" s="36">
        <f>VLOOKUP(ужин7,таб,34,FALSE)</f>
        <v>0</v>
      </c>
      <c r="AG99" s="88">
        <f>VLOOKUP(ужин8,таб,34,FALSE)</f>
        <v>0</v>
      </c>
      <c r="AH99" s="144">
        <v>614018</v>
      </c>
      <c r="AI99" s="174">
        <f>AK99/сред</f>
        <v>0</v>
      </c>
      <c r="AJ99" s="175"/>
      <c r="AK99" s="146">
        <f>SUM(G100:AG100)</f>
        <v>0</v>
      </c>
      <c r="AL99" s="146"/>
      <c r="AM99" s="134">
        <f>IF(AK99=0,0,Таблиця!AI267)</f>
        <v>0</v>
      </c>
      <c r="AN99" s="132">
        <f>AK99*AM99</f>
        <v>0</v>
      </c>
      <c r="AQ99" s="55"/>
      <c r="AR99" s="54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61"/>
      <c r="B100" s="161"/>
      <c r="C100" s="161"/>
      <c r="D100" s="161"/>
      <c r="E100" s="162"/>
      <c r="F100" s="59" t="s">
        <v>96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>
        <f t="shared" si="110"/>
      </c>
      <c r="L100" s="118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/>
      <c r="AF100" s="43">
        <f t="shared" si="112"/>
      </c>
      <c r="AG100" s="85">
        <f t="shared" si="112"/>
      </c>
      <c r="AH100" s="145"/>
      <c r="AI100" s="174"/>
      <c r="AJ100" s="175"/>
      <c r="AK100" s="146"/>
      <c r="AL100" s="146"/>
      <c r="AM100" s="135"/>
      <c r="AN100" s="133"/>
      <c r="AQ100" s="55"/>
      <c r="AR100" s="54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66" t="s">
        <v>30</v>
      </c>
      <c r="B101" s="166"/>
      <c r="C101" s="166"/>
      <c r="D101" s="166"/>
      <c r="E101" s="167"/>
      <c r="F101" s="64" t="s">
        <v>95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20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/>
      <c r="AF101" s="33">
        <f>VLOOKUP(ужин7,таб,35,FALSE)</f>
        <v>0</v>
      </c>
      <c r="AG101" s="87">
        <f>VLOOKUP(ужин8,таб,35,FALSE)</f>
        <v>0</v>
      </c>
      <c r="AH101" s="144">
        <v>614024</v>
      </c>
      <c r="AI101" s="174">
        <f>AK101/сред</f>
        <v>0</v>
      </c>
      <c r="AJ101" s="175"/>
      <c r="AK101" s="146">
        <f>SUM(G102:AG102)</f>
        <v>0</v>
      </c>
      <c r="AL101" s="146"/>
      <c r="AM101" s="134">
        <f>IF(AK101=0,0,Таблиця!AJ267)</f>
        <v>0</v>
      </c>
      <c r="AN101" s="132">
        <f>AK101*AM101</f>
        <v>0</v>
      </c>
      <c r="AQ101" s="55"/>
      <c r="AR101" s="54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66"/>
      <c r="B102" s="166"/>
      <c r="C102" s="166"/>
      <c r="D102" s="166"/>
      <c r="E102" s="167"/>
      <c r="F102" s="59" t="s">
        <v>96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>
        <f t="shared" si="113"/>
      </c>
      <c r="L102" s="117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/>
      <c r="AF102" s="44">
        <f t="shared" si="115"/>
      </c>
      <c r="AG102" s="82">
        <f t="shared" si="115"/>
      </c>
      <c r="AH102" s="145"/>
      <c r="AI102" s="174"/>
      <c r="AJ102" s="175"/>
      <c r="AK102" s="146"/>
      <c r="AL102" s="146"/>
      <c r="AM102" s="135"/>
      <c r="AN102" s="133"/>
      <c r="AQ102" s="55"/>
      <c r="AR102" s="54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59" t="s">
        <v>31</v>
      </c>
      <c r="B103" s="159"/>
      <c r="C103" s="159"/>
      <c r="D103" s="159"/>
      <c r="E103" s="160"/>
      <c r="F103" s="64" t="s">
        <v>95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21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/>
      <c r="AF103" s="36">
        <f>VLOOKUP(ужин7,таб,36,FALSE)</f>
        <v>0</v>
      </c>
      <c r="AG103" s="88">
        <f>VLOOKUP(ужин8,таб,36,FALSE)</f>
        <v>0</v>
      </c>
      <c r="AH103" s="144">
        <v>614044</v>
      </c>
      <c r="AI103" s="174">
        <f>AK103/сред</f>
        <v>0</v>
      </c>
      <c r="AJ103" s="175"/>
      <c r="AK103" s="146">
        <f>SUM(G104:AG104)</f>
        <v>0</v>
      </c>
      <c r="AL103" s="146"/>
      <c r="AM103" s="134">
        <f>IF(AK103=0,0,Таблиця!EG267)</f>
        <v>0</v>
      </c>
      <c r="AN103" s="132">
        <f>AK103*AM103</f>
        <v>0</v>
      </c>
      <c r="AQ103" s="55"/>
      <c r="AR103" s="54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61"/>
      <c r="B104" s="161"/>
      <c r="C104" s="161"/>
      <c r="D104" s="161"/>
      <c r="E104" s="162"/>
      <c r="F104" s="59" t="s">
        <v>96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>
        <f t="shared" si="116"/>
      </c>
      <c r="L104" s="118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/>
      <c r="AF104" s="43">
        <f t="shared" si="118"/>
      </c>
      <c r="AG104" s="85">
        <f t="shared" si="118"/>
      </c>
      <c r="AH104" s="145"/>
      <c r="AI104" s="174"/>
      <c r="AJ104" s="175"/>
      <c r="AK104" s="146"/>
      <c r="AL104" s="146"/>
      <c r="AM104" s="135"/>
      <c r="AN104" s="133"/>
      <c r="AQ104" s="55"/>
      <c r="AR104" s="5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66" t="s">
        <v>32</v>
      </c>
      <c r="B105" s="166"/>
      <c r="C105" s="166"/>
      <c r="D105" s="166"/>
      <c r="E105" s="167"/>
      <c r="F105" s="64" t="s">
        <v>95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20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/>
      <c r="AF105" s="33">
        <f>VLOOKUP(ужин7,таб,37,FALSE)</f>
        <v>0</v>
      </c>
      <c r="AG105" s="87">
        <f>VLOOKUP(ужин8,таб,37,FALSE)</f>
        <v>0</v>
      </c>
      <c r="AH105" s="144">
        <v>614074</v>
      </c>
      <c r="AI105" s="174">
        <f>AK105/сред</f>
        <v>0</v>
      </c>
      <c r="AJ105" s="175"/>
      <c r="AK105" s="146">
        <f>SUM(G106:AG106)</f>
        <v>0</v>
      </c>
      <c r="AL105" s="146"/>
      <c r="AM105" s="134">
        <f>IF(AK105=0,0,Таблиця!EH267)</f>
        <v>0</v>
      </c>
      <c r="AN105" s="132">
        <f>AK105*AM105</f>
        <v>0</v>
      </c>
      <c r="AQ105" s="55"/>
      <c r="AR105" s="54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66"/>
      <c r="B106" s="166"/>
      <c r="C106" s="166"/>
      <c r="D106" s="166"/>
      <c r="E106" s="167"/>
      <c r="F106" s="59" t="s">
        <v>96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>
        <f t="shared" si="119"/>
      </c>
      <c r="L106" s="117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/>
      <c r="AF106" s="44">
        <f t="shared" si="121"/>
      </c>
      <c r="AG106" s="82">
        <f t="shared" si="121"/>
      </c>
      <c r="AH106" s="145"/>
      <c r="AI106" s="174"/>
      <c r="AJ106" s="175"/>
      <c r="AK106" s="146"/>
      <c r="AL106" s="146"/>
      <c r="AM106" s="135"/>
      <c r="AN106" s="133"/>
      <c r="AQ106" s="55"/>
      <c r="AR106" s="54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66" t="s">
        <v>33</v>
      </c>
      <c r="B107" s="166"/>
      <c r="C107" s="166"/>
      <c r="D107" s="166"/>
      <c r="E107" s="167"/>
      <c r="F107" s="64" t="s">
        <v>95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0</v>
      </c>
      <c r="L107" s="120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22.5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0</v>
      </c>
      <c r="AD107" s="33">
        <f>VLOOKUP(ужин5,таб,38,FALSE)</f>
        <v>0</v>
      </c>
      <c r="AE107" s="32"/>
      <c r="AF107" s="33">
        <f>VLOOKUP(ужин7,таб,38,FALSE)</f>
        <v>0</v>
      </c>
      <c r="AG107" s="87">
        <f>VLOOKUP(ужин8,таб,38,FALSE)</f>
        <v>0</v>
      </c>
      <c r="AH107" s="144">
        <v>615027</v>
      </c>
      <c r="AI107" s="174">
        <f>AK107/сред</f>
        <v>0.021477272727272727</v>
      </c>
      <c r="AJ107" s="175"/>
      <c r="AK107" s="146">
        <f>SUM(G108:AG108)</f>
        <v>0.4725</v>
      </c>
      <c r="AL107" s="146"/>
      <c r="AM107" s="134">
        <f>IF(AK107=0,0,Таблиця!AM267)</f>
        <v>52</v>
      </c>
      <c r="AN107" s="132">
        <f>AK107*AM107</f>
        <v>24.57</v>
      </c>
      <c r="AQ107" s="55"/>
      <c r="AR107" s="54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66"/>
      <c r="B108" s="166"/>
      <c r="C108" s="166"/>
      <c r="D108" s="166"/>
      <c r="E108" s="167"/>
      <c r="F108" s="59" t="s">
        <v>96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>
        <f t="shared" si="122"/>
      </c>
      <c r="L108" s="117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  <v>0.4725</v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</c>
      <c r="AD108" s="44">
        <f t="shared" si="124"/>
      </c>
      <c r="AE108" s="45"/>
      <c r="AF108" s="44">
        <f t="shared" si="124"/>
      </c>
      <c r="AG108" s="82">
        <f t="shared" si="124"/>
      </c>
      <c r="AH108" s="145"/>
      <c r="AI108" s="174"/>
      <c r="AJ108" s="175"/>
      <c r="AK108" s="146"/>
      <c r="AL108" s="146"/>
      <c r="AM108" s="135"/>
      <c r="AN108" s="133"/>
      <c r="AQ108" s="55"/>
      <c r="AR108" s="54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59" t="s">
        <v>103</v>
      </c>
      <c r="B109" s="159"/>
      <c r="C109" s="159"/>
      <c r="D109" s="159"/>
      <c r="E109" s="160"/>
      <c r="F109" s="64" t="s">
        <v>95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21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/>
      <c r="AF109" s="36">
        <f>VLOOKUP(ужин7,таб,39,FALSE)</f>
        <v>0</v>
      </c>
      <c r="AG109" s="88">
        <f>VLOOKUP(ужин8,таб,39,FALSE)</f>
        <v>0</v>
      </c>
      <c r="AH109" s="144">
        <v>615028</v>
      </c>
      <c r="AI109" s="174">
        <f>AK109/сред</f>
        <v>0</v>
      </c>
      <c r="AJ109" s="175"/>
      <c r="AK109" s="146">
        <f>SUM(G110:AG110)</f>
        <v>0</v>
      </c>
      <c r="AL109" s="146"/>
      <c r="AM109" s="134">
        <f>IF(AK109=0,0,Таблиця!AN267)</f>
        <v>0</v>
      </c>
      <c r="AN109" s="132">
        <f>AK109*AM109</f>
        <v>0</v>
      </c>
      <c r="AQ109" s="55"/>
      <c r="AR109" s="54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61"/>
      <c r="B110" s="161"/>
      <c r="C110" s="161"/>
      <c r="D110" s="161"/>
      <c r="E110" s="162"/>
      <c r="F110" s="59" t="s">
        <v>96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>
        <f t="shared" si="125"/>
      </c>
      <c r="L110" s="118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/>
      <c r="AF110" s="43">
        <f t="shared" si="127"/>
      </c>
      <c r="AG110" s="85">
        <f t="shared" si="127"/>
      </c>
      <c r="AH110" s="145"/>
      <c r="AI110" s="174"/>
      <c r="AJ110" s="175"/>
      <c r="AK110" s="146"/>
      <c r="AL110" s="146"/>
      <c r="AM110" s="135"/>
      <c r="AN110" s="133"/>
      <c r="AQ110" s="55"/>
      <c r="AR110" s="54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66" t="s">
        <v>34</v>
      </c>
      <c r="B111" s="166"/>
      <c r="C111" s="166"/>
      <c r="D111" s="166"/>
      <c r="E111" s="167"/>
      <c r="F111" s="64" t="s">
        <v>95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v>200</v>
      </c>
      <c r="L111" s="120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/>
      <c r="AF111" s="33">
        <f>VLOOKUP(ужин7,таб,40,FALSE)</f>
        <v>0</v>
      </c>
      <c r="AG111" s="87">
        <f>VLOOKUP(ужин8,таб,40,FALSE)</f>
        <v>0</v>
      </c>
      <c r="AH111" s="144"/>
      <c r="AI111" s="142">
        <f>AK111/сред</f>
        <v>0.21818181818181817</v>
      </c>
      <c r="AJ111" s="143"/>
      <c r="AK111" s="146">
        <f>SUM(G112:AG112)</f>
        <v>4.8</v>
      </c>
      <c r="AL111" s="146"/>
      <c r="AM111" s="134">
        <f>IF(AK111=0,0,Таблиця!AO267)</f>
        <v>27.7</v>
      </c>
      <c r="AN111" s="132">
        <f>AK111*AM111</f>
        <v>132.95999999999998</v>
      </c>
      <c r="AQ111" s="55"/>
      <c r="AR111" s="54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66"/>
      <c r="B112" s="166"/>
      <c r="C112" s="166"/>
      <c r="D112" s="166"/>
      <c r="E112" s="167"/>
      <c r="F112" s="59" t="s">
        <v>96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>
        <f t="shared" si="128"/>
        <v>4.8</v>
      </c>
      <c r="L112" s="117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/>
      <c r="AF112" s="44">
        <f t="shared" si="130"/>
      </c>
      <c r="AG112" s="82">
        <f t="shared" si="130"/>
      </c>
      <c r="AH112" s="145"/>
      <c r="AI112" s="142"/>
      <c r="AJ112" s="143"/>
      <c r="AK112" s="146"/>
      <c r="AL112" s="146"/>
      <c r="AM112" s="135"/>
      <c r="AN112" s="133"/>
      <c r="AQ112" s="55"/>
      <c r="AR112" s="54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66" t="s">
        <v>35</v>
      </c>
      <c r="B113" s="166"/>
      <c r="C113" s="166"/>
      <c r="D113" s="166"/>
      <c r="E113" s="167"/>
      <c r="F113" s="64" t="s">
        <v>95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21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/>
      <c r="AF113" s="36">
        <f>VLOOKUP(ужин7,таб,41,FALSE)</f>
        <v>0</v>
      </c>
      <c r="AG113" s="88">
        <f>VLOOKUP(ужин8,таб,41,FALSE)</f>
        <v>0</v>
      </c>
      <c r="AH113" s="144"/>
      <c r="AI113" s="142">
        <f>AK113/сред</f>
        <v>0</v>
      </c>
      <c r="AJ113" s="143"/>
      <c r="AK113" s="146">
        <f>SUM(G114:AG114)</f>
        <v>0</v>
      </c>
      <c r="AL113" s="146"/>
      <c r="AM113" s="134">
        <f>IF(AK113=0,0,Таблиця!AP267)</f>
        <v>0</v>
      </c>
      <c r="AN113" s="132">
        <f>AK113*AM113</f>
        <v>0</v>
      </c>
      <c r="AQ113" s="55"/>
      <c r="AR113" s="54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61"/>
      <c r="B114" s="161"/>
      <c r="C114" s="161"/>
      <c r="D114" s="161"/>
      <c r="E114" s="162"/>
      <c r="F114" s="59" t="s">
        <v>96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>
        <f t="shared" si="131"/>
      </c>
      <c r="L114" s="118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/>
      <c r="AF114" s="43">
        <f t="shared" si="133"/>
      </c>
      <c r="AG114" s="85">
        <f t="shared" si="133"/>
      </c>
      <c r="AH114" s="145"/>
      <c r="AI114" s="142"/>
      <c r="AJ114" s="143"/>
      <c r="AK114" s="146"/>
      <c r="AL114" s="146"/>
      <c r="AM114" s="135"/>
      <c r="AN114" s="133"/>
      <c r="AQ114" s="55"/>
      <c r="AR114" s="5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66" t="s">
        <v>36</v>
      </c>
      <c r="B115" s="166"/>
      <c r="C115" s="166"/>
      <c r="D115" s="166"/>
      <c r="E115" s="167"/>
      <c r="F115" s="64" t="s">
        <v>95</v>
      </c>
      <c r="G115" s="71">
        <f>VLOOKUP(завтрак1,таб,42,FALSE)</f>
        <v>0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20">
        <f>VLOOKUP(завтрак6,таб,42,FALSE)</f>
        <v>0</v>
      </c>
      <c r="M115" s="71">
        <f>VLOOKUP(завтрак7,таб,42,FALSE)</f>
        <v>114</v>
      </c>
      <c r="N115" s="81">
        <f>VLOOKUP(завтрак8,таб,42,FALSE)</f>
        <v>0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114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/>
      <c r="AF115" s="33">
        <f>VLOOKUP(ужин7,таб,42,FALSE)</f>
        <v>0</v>
      </c>
      <c r="AG115" s="87">
        <f>VLOOKUP(ужин8,таб,42,FALSE)</f>
        <v>0</v>
      </c>
      <c r="AH115" s="144">
        <v>615054</v>
      </c>
      <c r="AI115" s="142">
        <f>AK115/сред</f>
        <v>0.24872727272727274</v>
      </c>
      <c r="AJ115" s="143"/>
      <c r="AK115" s="146">
        <f>SUM(G116:AG116)</f>
        <v>5.472</v>
      </c>
      <c r="AL115" s="146"/>
      <c r="AM115" s="134">
        <f>IF(AK115=0,0,Таблиця!AQ267)</f>
        <v>5.95</v>
      </c>
      <c r="AN115" s="132">
        <f>AK115*AM115</f>
        <v>32.558400000000006</v>
      </c>
      <c r="AQ115" s="55"/>
      <c r="AR115" s="54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66"/>
      <c r="B116" s="166"/>
      <c r="C116" s="166"/>
      <c r="D116" s="166"/>
      <c r="E116" s="167"/>
      <c r="F116" s="59" t="s">
        <v>96</v>
      </c>
      <c r="G116" s="72">
        <f aca="true" t="shared" si="134" ref="G116:N116">IF(G115=0,"",завтракл*G115/1000)</f>
      </c>
      <c r="H116" s="45">
        <f t="shared" si="134"/>
      </c>
      <c r="I116" s="44">
        <f t="shared" si="134"/>
      </c>
      <c r="J116" s="45">
        <f t="shared" si="134"/>
      </c>
      <c r="K116" s="44">
        <f t="shared" si="134"/>
      </c>
      <c r="L116" s="117">
        <f t="shared" si="134"/>
      </c>
      <c r="M116" s="72">
        <f t="shared" si="134"/>
        <v>2.736</v>
      </c>
      <c r="N116" s="82">
        <f t="shared" si="134"/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</c>
      <c r="U116" s="45">
        <f t="shared" si="135"/>
        <v>2.736</v>
      </c>
      <c r="V116" s="82">
        <f t="shared" si="135"/>
      </c>
      <c r="W116" s="46">
        <f>IF(W115=0,"",полдникл*W115/1000)</f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/>
      <c r="AF116" s="44">
        <f t="shared" si="136"/>
      </c>
      <c r="AG116" s="82">
        <f t="shared" si="136"/>
      </c>
      <c r="AH116" s="145"/>
      <c r="AI116" s="142"/>
      <c r="AJ116" s="143"/>
      <c r="AK116" s="146"/>
      <c r="AL116" s="146"/>
      <c r="AM116" s="135"/>
      <c r="AN116" s="133"/>
      <c r="AQ116" s="55"/>
      <c r="AR116" s="54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59" t="s">
        <v>124</v>
      </c>
      <c r="B117" s="159"/>
      <c r="C117" s="159"/>
      <c r="D117" s="159"/>
      <c r="E117" s="160"/>
      <c r="F117" s="64" t="s">
        <v>95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21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/>
      <c r="AF117" s="36">
        <f>VLOOKUP(ужин7,таб,75,FALSE)</f>
        <v>0</v>
      </c>
      <c r="AG117" s="88">
        <f>VLOOKUP(ужин8,таб,75,FALSE)</f>
        <v>0</v>
      </c>
      <c r="AH117" s="144"/>
      <c r="AI117" s="142">
        <f>AK117/сред</f>
        <v>0</v>
      </c>
      <c r="AJ117" s="143"/>
      <c r="AK117" s="146">
        <f>SUM(G118:AG118)</f>
        <v>0</v>
      </c>
      <c r="AL117" s="146"/>
      <c r="AM117" s="134">
        <f>IF(AK117=0,0,Таблиця!BX267)</f>
        <v>0</v>
      </c>
      <c r="AN117" s="132">
        <f>AK117*AM117</f>
        <v>0</v>
      </c>
      <c r="AQ117" s="91"/>
      <c r="AR117" s="54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61"/>
      <c r="B118" s="161"/>
      <c r="C118" s="161"/>
      <c r="D118" s="161"/>
      <c r="E118" s="162"/>
      <c r="F118" s="59" t="s">
        <v>96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>
        <f t="shared" si="137"/>
      </c>
      <c r="L118" s="118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/>
      <c r="AF118" s="43">
        <f t="shared" si="139"/>
      </c>
      <c r="AG118" s="85">
        <f t="shared" si="139"/>
      </c>
      <c r="AH118" s="145"/>
      <c r="AI118" s="142"/>
      <c r="AJ118" s="143"/>
      <c r="AK118" s="146"/>
      <c r="AL118" s="146"/>
      <c r="AM118" s="135"/>
      <c r="AN118" s="133"/>
      <c r="AQ118" s="54"/>
      <c r="AR118" s="54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66" t="s">
        <v>112</v>
      </c>
      <c r="B119" s="166"/>
      <c r="C119" s="166"/>
      <c r="D119" s="166"/>
      <c r="E119" s="167"/>
      <c r="F119" s="64" t="s">
        <v>95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20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/>
      <c r="AF119" s="33">
        <f>VLOOKUP(ужин7,таб,76,FALSE)</f>
        <v>0</v>
      </c>
      <c r="AG119" s="87">
        <f>VLOOKUP(ужин8,таб,76,FALSE)</f>
        <v>0</v>
      </c>
      <c r="AH119" s="144"/>
      <c r="AI119" s="142">
        <f>AK119/сред</f>
        <v>0</v>
      </c>
      <c r="AJ119" s="143"/>
      <c r="AK119" s="146">
        <f>SUM(G120:AG120)</f>
        <v>0</v>
      </c>
      <c r="AL119" s="146"/>
      <c r="AM119" s="134">
        <f>IF(AK119=0,0,Таблиця!EI267)</f>
        <v>0</v>
      </c>
      <c r="AN119" s="132">
        <f>AK119*AM119</f>
        <v>0</v>
      </c>
      <c r="AQ119" s="54"/>
      <c r="AR119" s="54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66"/>
      <c r="B120" s="166"/>
      <c r="C120" s="166"/>
      <c r="D120" s="166"/>
      <c r="E120" s="167"/>
      <c r="F120" s="59" t="s">
        <v>96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>
        <f t="shared" si="140"/>
      </c>
      <c r="L120" s="117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/>
      <c r="AF120" s="44">
        <f t="shared" si="142"/>
      </c>
      <c r="AG120" s="82">
        <f t="shared" si="142"/>
      </c>
      <c r="AH120" s="145"/>
      <c r="AI120" s="142"/>
      <c r="AJ120" s="143"/>
      <c r="AK120" s="146"/>
      <c r="AL120" s="146"/>
      <c r="AM120" s="135"/>
      <c r="AN120" s="133"/>
      <c r="AQ120" s="54"/>
      <c r="AR120" s="54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59" t="s">
        <v>107</v>
      </c>
      <c r="B121" s="159"/>
      <c r="C121" s="159"/>
      <c r="D121" s="159"/>
      <c r="E121" s="160"/>
      <c r="F121" s="64" t="s">
        <v>95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21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/>
      <c r="AF121" s="36">
        <f>VLOOKUP(ужин7,таб,77,FALSE)</f>
        <v>0</v>
      </c>
      <c r="AG121" s="88">
        <f>VLOOKUP(ужин8,таб,77,FALSE)</f>
        <v>0</v>
      </c>
      <c r="AH121" s="144"/>
      <c r="AI121" s="142">
        <f>AK121/сред</f>
        <v>0</v>
      </c>
      <c r="AJ121" s="143"/>
      <c r="AK121" s="146">
        <f>SUM(G122:AG122)</f>
        <v>0</v>
      </c>
      <c r="AL121" s="146"/>
      <c r="AM121" s="134">
        <f>IF(AK121=0,0,Таблиця!BZ267)</f>
        <v>0</v>
      </c>
      <c r="AN121" s="132">
        <f>AK121*AM121</f>
        <v>0</v>
      </c>
      <c r="AQ121" s="55"/>
      <c r="AR121" s="54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61"/>
      <c r="B122" s="161"/>
      <c r="C122" s="161"/>
      <c r="D122" s="161"/>
      <c r="E122" s="162"/>
      <c r="F122" s="59" t="s">
        <v>96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>
        <f t="shared" si="143"/>
      </c>
      <c r="L122" s="118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/>
      <c r="AF122" s="43">
        <f t="shared" si="145"/>
      </c>
      <c r="AG122" s="85">
        <f t="shared" si="145"/>
      </c>
      <c r="AH122" s="145"/>
      <c r="AI122" s="142"/>
      <c r="AJ122" s="143"/>
      <c r="AK122" s="146"/>
      <c r="AL122" s="146"/>
      <c r="AM122" s="135"/>
      <c r="AN122" s="133"/>
      <c r="AQ122" s="54"/>
      <c r="AR122" s="54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66" t="s">
        <v>104</v>
      </c>
      <c r="B123" s="166"/>
      <c r="C123" s="166"/>
      <c r="D123" s="166"/>
      <c r="E123" s="167"/>
      <c r="F123" s="64" t="s">
        <v>95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20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/>
      <c r="AF123" s="33">
        <f>VLOOKUP(ужин7,таб,86,FALSE)</f>
        <v>0</v>
      </c>
      <c r="AG123" s="87">
        <f>VLOOKUP(ужин8,таб,86,FALSE)</f>
        <v>0</v>
      </c>
      <c r="AH123" s="144"/>
      <c r="AI123" s="142">
        <f>AK123/сред</f>
        <v>0</v>
      </c>
      <c r="AJ123" s="143"/>
      <c r="AK123" s="146">
        <f>SUM(G124:AG124)</f>
        <v>0</v>
      </c>
      <c r="AL123" s="146"/>
      <c r="AM123" s="134">
        <f>IF(AK123=0,0,Таблиця!CI267)</f>
        <v>0</v>
      </c>
      <c r="AN123" s="132">
        <f>AK123*AM123</f>
        <v>0</v>
      </c>
      <c r="AQ123" s="54"/>
      <c r="AR123" s="54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66"/>
      <c r="B124" s="166"/>
      <c r="C124" s="166"/>
      <c r="D124" s="166"/>
      <c r="E124" s="167"/>
      <c r="F124" s="59" t="s">
        <v>96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>
        <f t="shared" si="146"/>
      </c>
      <c r="L124" s="117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/>
      <c r="AF124" s="44">
        <f t="shared" si="148"/>
      </c>
      <c r="AG124" s="82">
        <f t="shared" si="148"/>
      </c>
      <c r="AH124" s="145"/>
      <c r="AI124" s="142"/>
      <c r="AJ124" s="143"/>
      <c r="AK124" s="146"/>
      <c r="AL124" s="146"/>
      <c r="AM124" s="135"/>
      <c r="AN124" s="133"/>
      <c r="AQ124" s="54"/>
      <c r="AR124" s="5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59" t="s">
        <v>37</v>
      </c>
      <c r="B125" s="159"/>
      <c r="C125" s="159"/>
      <c r="D125" s="159"/>
      <c r="E125" s="160"/>
      <c r="F125" s="64" t="s">
        <v>95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21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v>50</v>
      </c>
      <c r="Q125" s="35">
        <f>VLOOKUP(обед3,таб,43,FALSE)</f>
        <v>0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/>
      <c r="AF125" s="36">
        <f>VLOOKUP(ужин7,таб,43,FALSE)</f>
        <v>0</v>
      </c>
      <c r="AG125" s="88">
        <f>VLOOKUP(ужин8,таб,43,FALSE)</f>
        <v>0</v>
      </c>
      <c r="AH125" s="144">
        <v>615078</v>
      </c>
      <c r="AI125" s="142">
        <f>AK125/сред</f>
        <v>0.05454545454545454</v>
      </c>
      <c r="AJ125" s="143"/>
      <c r="AK125" s="146">
        <f>SUM(G126:AG126)</f>
        <v>1.2</v>
      </c>
      <c r="AL125" s="146"/>
      <c r="AM125" s="134">
        <f>IF(AK125=0,0,Таблиця!AR267)</f>
        <v>8</v>
      </c>
      <c r="AN125" s="132">
        <f>AK125*AM125</f>
        <v>9.6</v>
      </c>
      <c r="AQ125" s="54"/>
      <c r="AR125" s="54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61"/>
      <c r="B126" s="161"/>
      <c r="C126" s="161"/>
      <c r="D126" s="161"/>
      <c r="E126" s="162"/>
      <c r="F126" s="59" t="s">
        <v>96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>
        <f t="shared" si="149"/>
      </c>
      <c r="L126" s="118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1.2</v>
      </c>
      <c r="Q126" s="47">
        <f t="shared" si="150"/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</c>
      <c r="AB126" s="43">
        <f t="shared" si="151"/>
      </c>
      <c r="AC126" s="47">
        <f t="shared" si="151"/>
      </c>
      <c r="AD126" s="43">
        <f t="shared" si="151"/>
      </c>
      <c r="AE126" s="47"/>
      <c r="AF126" s="43">
        <f t="shared" si="151"/>
      </c>
      <c r="AG126" s="85">
        <f t="shared" si="151"/>
      </c>
      <c r="AH126" s="145"/>
      <c r="AI126" s="142"/>
      <c r="AJ126" s="143"/>
      <c r="AK126" s="146"/>
      <c r="AL126" s="146"/>
      <c r="AM126" s="135"/>
      <c r="AN126" s="133"/>
      <c r="AQ126" s="54"/>
      <c r="AR126" s="54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66" t="s">
        <v>120</v>
      </c>
      <c r="B127" s="166"/>
      <c r="C127" s="166"/>
      <c r="D127" s="166"/>
      <c r="E127" s="167"/>
      <c r="F127" s="64" t="s">
        <v>95</v>
      </c>
      <c r="G127" s="71">
        <f>VLOOKUP(завтрак1,таб,44,FALSE)</f>
        <v>25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20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35</v>
      </c>
      <c r="P127" s="33">
        <f>VLOOKUP(обед2,таб,44,FALSE)</f>
        <v>0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/>
      <c r="AC127" s="32">
        <f>VLOOKUP(ужин4,таб,44,FALSE)</f>
        <v>0</v>
      </c>
      <c r="AD127" s="33">
        <f>VLOOKUP(ужин5,таб,44,FALSE)</f>
        <v>0</v>
      </c>
      <c r="AE127" s="32"/>
      <c r="AF127" s="33">
        <f>VLOOKUP(ужин7,таб,44,FALSE)</f>
        <v>0</v>
      </c>
      <c r="AG127" s="87">
        <f>VLOOKUP(ужин8,таб,44,FALSE)</f>
        <v>0</v>
      </c>
      <c r="AH127" s="144">
        <v>615079</v>
      </c>
      <c r="AI127" s="142">
        <f>AK127/сред</f>
        <v>0.06545454545454545</v>
      </c>
      <c r="AJ127" s="143"/>
      <c r="AK127" s="146">
        <f>SUM(G128:AG128)</f>
        <v>1.44</v>
      </c>
      <c r="AL127" s="146"/>
      <c r="AM127" s="134">
        <f>IF(AK127=0,0,Таблиця!AS267)</f>
        <v>14</v>
      </c>
      <c r="AN127" s="132">
        <f>AK127*AM127</f>
        <v>20.16</v>
      </c>
      <c r="AQ127" s="54"/>
      <c r="AR127" s="54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66"/>
      <c r="B128" s="166"/>
      <c r="C128" s="166"/>
      <c r="D128" s="166"/>
      <c r="E128" s="167"/>
      <c r="F128" s="59" t="s">
        <v>96</v>
      </c>
      <c r="G128" s="72">
        <f aca="true" t="shared" si="152" ref="G128:N128">IF(G127=0,"",завтракл*G127/1000)</f>
        <v>0.6</v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7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  <v>0.84</v>
      </c>
      <c r="P128" s="44">
        <f t="shared" si="153"/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/>
      <c r="AF128" s="44">
        <f t="shared" si="154"/>
      </c>
      <c r="AG128" s="82">
        <f t="shared" si="154"/>
      </c>
      <c r="AH128" s="145"/>
      <c r="AI128" s="142"/>
      <c r="AJ128" s="143"/>
      <c r="AK128" s="146"/>
      <c r="AL128" s="146"/>
      <c r="AM128" s="135"/>
      <c r="AN128" s="133"/>
      <c r="AQ128" s="54"/>
      <c r="AR128" s="54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59" t="s">
        <v>38</v>
      </c>
      <c r="B129" s="159"/>
      <c r="C129" s="159"/>
      <c r="D129" s="159"/>
      <c r="E129" s="160"/>
      <c r="F129" s="64" t="s">
        <v>95</v>
      </c>
      <c r="G129" s="73">
        <f>VLOOKUP(завтрак1,таб,45,FALSE)</f>
        <v>0</v>
      </c>
      <c r="H129" s="35">
        <f>VLOOKUP(завтрак2,таб,45,FALSE)</f>
        <v>0</v>
      </c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21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7.5</v>
      </c>
      <c r="Q129" s="35">
        <f>VLOOKUP(обед3,таб,45,FALSE)</f>
        <v>0</v>
      </c>
      <c r="R129" s="36">
        <f>VLOOKUP(обед4,таб,45,FALSE)</f>
        <v>23.8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0</v>
      </c>
      <c r="AA129" s="35">
        <f>VLOOKUP(ужин2,таб,45,FALSE)</f>
        <v>0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/>
      <c r="AF129" s="36">
        <f>VLOOKUP(ужин7,таб,45,FALSE)</f>
        <v>0</v>
      </c>
      <c r="AG129" s="88">
        <f>VLOOKUP(ужин8,таб,45,FALSE)</f>
        <v>0</v>
      </c>
      <c r="AH129" s="144">
        <v>616062</v>
      </c>
      <c r="AI129" s="142">
        <f>AK129/сред</f>
        <v>0.03414545454545455</v>
      </c>
      <c r="AJ129" s="143"/>
      <c r="AK129" s="146">
        <f>SUM(G130:AG130)</f>
        <v>0.7512000000000001</v>
      </c>
      <c r="AL129" s="146"/>
      <c r="AM129" s="134">
        <f>IF(AK129=0,0,Таблиця!AT267)</f>
        <v>11.67</v>
      </c>
      <c r="AN129" s="132">
        <f>AK129*AM129</f>
        <v>8.766504000000001</v>
      </c>
      <c r="AQ129" s="54"/>
      <c r="AR129" s="54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61"/>
      <c r="B130" s="161"/>
      <c r="C130" s="161"/>
      <c r="D130" s="161"/>
      <c r="E130" s="162"/>
      <c r="F130" s="59" t="s">
        <v>96</v>
      </c>
      <c r="G130" s="74">
        <f aca="true" t="shared" si="155" ref="G130:N130">IF(G129=0,"",завтракл*G129/1000)</f>
      </c>
      <c r="H130" s="47">
        <f t="shared" si="155"/>
      </c>
      <c r="I130" s="43">
        <f t="shared" si="155"/>
      </c>
      <c r="J130" s="47">
        <f t="shared" si="155"/>
      </c>
      <c r="K130" s="43">
        <f t="shared" si="155"/>
      </c>
      <c r="L130" s="118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0.18</v>
      </c>
      <c r="Q130" s="47">
        <f t="shared" si="156"/>
      </c>
      <c r="R130" s="43">
        <f t="shared" si="156"/>
        <v>0.5712</v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</c>
      <c r="AA130" s="47">
        <f t="shared" si="157"/>
      </c>
      <c r="AB130" s="43">
        <f t="shared" si="157"/>
      </c>
      <c r="AC130" s="47">
        <f t="shared" si="157"/>
      </c>
      <c r="AD130" s="43">
        <f t="shared" si="157"/>
      </c>
      <c r="AE130" s="47"/>
      <c r="AF130" s="43">
        <f t="shared" si="157"/>
      </c>
      <c r="AG130" s="85">
        <f t="shared" si="157"/>
      </c>
      <c r="AH130" s="145"/>
      <c r="AI130" s="142"/>
      <c r="AJ130" s="143"/>
      <c r="AK130" s="146"/>
      <c r="AL130" s="146"/>
      <c r="AM130" s="135"/>
      <c r="AN130" s="133"/>
      <c r="AQ130" s="54"/>
      <c r="AR130" s="54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66" t="s">
        <v>39</v>
      </c>
      <c r="B131" s="166"/>
      <c r="C131" s="166"/>
      <c r="D131" s="166"/>
      <c r="E131" s="167"/>
      <c r="F131" s="64" t="s">
        <v>95</v>
      </c>
      <c r="G131" s="71">
        <f>VLOOKUP(завтрак1,таб,46,FALSE)</f>
        <v>75.4</v>
      </c>
      <c r="H131" s="32">
        <f>VLOOKUP(завтрак2,таб,46,FALSE)</f>
        <v>0</v>
      </c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20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37</v>
      </c>
      <c r="P131" s="33">
        <f>VLOOKUP(обед2,таб,46,FALSE)</f>
        <v>12</v>
      </c>
      <c r="Q131" s="32">
        <f>VLOOKUP(обед3,таб,46,FALSE)</f>
        <v>0</v>
      </c>
      <c r="R131" s="33">
        <f>VLOOKUP(обед4,таб,46,FALSE)</f>
        <v>0</v>
      </c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131</v>
      </c>
      <c r="AA131" s="32">
        <f>VLOOKUP(ужин2,таб,46,FALSE)</f>
        <v>0</v>
      </c>
      <c r="AB131" s="33"/>
      <c r="AC131" s="32">
        <f>VLOOKUP(ужин4,таб,46,FALSE)</f>
        <v>0</v>
      </c>
      <c r="AD131" s="33">
        <f>VLOOKUP(ужин5,таб,46,FALSE)</f>
        <v>0</v>
      </c>
      <c r="AE131" s="32"/>
      <c r="AF131" s="33">
        <f>VLOOKUP(ужин7,таб,46,FALSE)</f>
        <v>0</v>
      </c>
      <c r="AG131" s="87">
        <f>VLOOKUP(ужин8,таб,46,FALSE)</f>
        <v>0</v>
      </c>
      <c r="AH131" s="144">
        <v>615084</v>
      </c>
      <c r="AI131" s="142">
        <f>AK131/сред</f>
        <v>0.2428909090909091</v>
      </c>
      <c r="AJ131" s="143"/>
      <c r="AK131" s="146">
        <f>SUM(G132:AG132)</f>
        <v>5.3436</v>
      </c>
      <c r="AL131" s="146"/>
      <c r="AM131" s="134">
        <f>IF(AK131=0,0,Таблиця!AU267)</f>
        <v>11.67</v>
      </c>
      <c r="AN131" s="132">
        <f>AK131*AM131</f>
        <v>62.359812000000005</v>
      </c>
      <c r="AQ131" s="54"/>
      <c r="AR131" s="54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66"/>
      <c r="B132" s="166"/>
      <c r="C132" s="166"/>
      <c r="D132" s="166"/>
      <c r="E132" s="167"/>
      <c r="F132" s="59" t="s">
        <v>96</v>
      </c>
      <c r="G132" s="72">
        <f aca="true" t="shared" si="158" ref="G132:N132">IF(G131=0,"",завтракл*G131/1000)</f>
        <v>1.8096</v>
      </c>
      <c r="H132" s="45">
        <f t="shared" si="158"/>
      </c>
      <c r="I132" s="44">
        <f t="shared" si="158"/>
      </c>
      <c r="J132" s="45">
        <f t="shared" si="158"/>
      </c>
      <c r="K132" s="44">
        <f t="shared" si="158"/>
      </c>
      <c r="L132" s="117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  <v>0.888</v>
      </c>
      <c r="P132" s="44">
        <f t="shared" si="159"/>
        <v>0.288</v>
      </c>
      <c r="Q132" s="45">
        <f t="shared" si="159"/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  <v>2.358</v>
      </c>
      <c r="AA132" s="45">
        <f t="shared" si="160"/>
      </c>
      <c r="AB132" s="44">
        <f t="shared" si="160"/>
      </c>
      <c r="AC132" s="45">
        <f t="shared" si="160"/>
      </c>
      <c r="AD132" s="44">
        <f t="shared" si="160"/>
      </c>
      <c r="AE132" s="45"/>
      <c r="AF132" s="44">
        <f t="shared" si="160"/>
      </c>
      <c r="AG132" s="82">
        <f t="shared" si="160"/>
      </c>
      <c r="AH132" s="145"/>
      <c r="AI132" s="142"/>
      <c r="AJ132" s="143"/>
      <c r="AK132" s="146"/>
      <c r="AL132" s="146"/>
      <c r="AM132" s="135"/>
      <c r="AN132" s="133"/>
      <c r="AQ132" s="54"/>
      <c r="AR132" s="54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59" t="s">
        <v>121</v>
      </c>
      <c r="B133" s="159"/>
      <c r="C133" s="159"/>
      <c r="D133" s="159"/>
      <c r="E133" s="160"/>
      <c r="F133" s="64" t="s">
        <v>95</v>
      </c>
      <c r="G133" s="73">
        <f>VLOOKUP(завтрак1,таб,47,FALSE)</f>
        <v>0</v>
      </c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21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/>
      <c r="AF133" s="36">
        <f>VLOOKUP(ужин7,таб,47,FALSE)</f>
        <v>0</v>
      </c>
      <c r="AG133" s="88">
        <f>VLOOKUP(ужин8,таб,47,FALSE)</f>
        <v>0</v>
      </c>
      <c r="AH133" s="144">
        <v>615088</v>
      </c>
      <c r="AI133" s="142">
        <f>AK133/сред</f>
        <v>0</v>
      </c>
      <c r="AJ133" s="143"/>
      <c r="AK133" s="146">
        <f>SUM(G134:AG134)</f>
        <v>0</v>
      </c>
      <c r="AL133" s="146"/>
      <c r="AM133" s="134">
        <f>IF(AK133=0,0,Таблиця!AV267)</f>
        <v>0</v>
      </c>
      <c r="AN133" s="132">
        <f>AK133*AM133</f>
        <v>0</v>
      </c>
      <c r="AQ133" s="54"/>
      <c r="AR133" s="54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61"/>
      <c r="B134" s="161"/>
      <c r="C134" s="161"/>
      <c r="D134" s="161"/>
      <c r="E134" s="162"/>
      <c r="F134" s="59" t="s">
        <v>96</v>
      </c>
      <c r="G134" s="74">
        <f aca="true" t="shared" si="161" ref="G134:N134">IF(G133=0,"",завтракл*G133/1000)</f>
      </c>
      <c r="H134" s="47">
        <f t="shared" si="161"/>
      </c>
      <c r="I134" s="43">
        <f t="shared" si="161"/>
      </c>
      <c r="J134" s="47">
        <f t="shared" si="161"/>
      </c>
      <c r="K134" s="43">
        <f t="shared" si="161"/>
      </c>
      <c r="L134" s="118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/>
      <c r="AF134" s="43">
        <f t="shared" si="163"/>
      </c>
      <c r="AG134" s="85">
        <f t="shared" si="163"/>
      </c>
      <c r="AH134" s="145"/>
      <c r="AI134" s="142"/>
      <c r="AJ134" s="143"/>
      <c r="AK134" s="146"/>
      <c r="AL134" s="146"/>
      <c r="AM134" s="135"/>
      <c r="AN134" s="133"/>
      <c r="AQ134" s="54"/>
      <c r="AR134" s="5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62" t="s">
        <v>439</v>
      </c>
      <c r="B135" s="163"/>
      <c r="C135" s="163"/>
      <c r="D135" s="163"/>
      <c r="E135" s="163"/>
      <c r="F135" s="64" t="s">
        <v>95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20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46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/>
      <c r="AF135" s="33">
        <f>VLOOKUP(ужин7,таб,48,FALSE)</f>
        <v>0</v>
      </c>
      <c r="AG135" s="87">
        <f>VLOOKUP(ужин8,таб,48,FALSE)</f>
        <v>0</v>
      </c>
      <c r="AH135" s="144"/>
      <c r="AI135" s="142">
        <f>AK135/сред</f>
        <v>0.05018181818181819</v>
      </c>
      <c r="AJ135" s="143"/>
      <c r="AK135" s="146">
        <f>SUM(G136:AG136)</f>
        <v>1.104</v>
      </c>
      <c r="AL135" s="146"/>
      <c r="AM135" s="134">
        <f>IF(AK135=0,0,Таблиця!EJ267)</f>
        <v>60</v>
      </c>
      <c r="AN135" s="132">
        <f>AK135*AM135</f>
        <v>66.24000000000001</v>
      </c>
      <c r="AQ135" s="54"/>
      <c r="AR135" s="54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164"/>
      <c r="B136" s="165"/>
      <c r="C136" s="165"/>
      <c r="D136" s="165"/>
      <c r="E136" s="165"/>
      <c r="F136" s="59" t="s">
        <v>96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>
        <f t="shared" si="164"/>
      </c>
      <c r="L136" s="117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  <v>1.104</v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/>
      <c r="AF136" s="44">
        <f t="shared" si="166"/>
      </c>
      <c r="AG136" s="82">
        <f t="shared" si="166"/>
      </c>
      <c r="AH136" s="145"/>
      <c r="AI136" s="142"/>
      <c r="AJ136" s="143"/>
      <c r="AK136" s="146"/>
      <c r="AL136" s="146"/>
      <c r="AM136" s="135"/>
      <c r="AN136" s="133"/>
      <c r="AQ136" s="55"/>
      <c r="AR136" s="54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59" t="s">
        <v>40</v>
      </c>
      <c r="B137" s="159"/>
      <c r="C137" s="159"/>
      <c r="D137" s="159"/>
      <c r="E137" s="160"/>
      <c r="F137" s="64" t="s">
        <v>95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21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0</v>
      </c>
      <c r="P137" s="36">
        <f>VLOOKUP(обед2,таб,51,FALSE)</f>
        <v>0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109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/>
      <c r="AF137" s="36">
        <f>VLOOKUP(ужин7,таб,51,FALSE)</f>
        <v>0</v>
      </c>
      <c r="AG137" s="88">
        <f>VLOOKUP(ужин8,таб,51,FALSE)</f>
        <v>0</v>
      </c>
      <c r="AH137" s="144">
        <v>615094</v>
      </c>
      <c r="AI137" s="142">
        <f>AK137/сред</f>
        <v>0.10404545454545455</v>
      </c>
      <c r="AJ137" s="143"/>
      <c r="AK137" s="146">
        <f>SUM(G138:AG138)</f>
        <v>2.289</v>
      </c>
      <c r="AL137" s="146"/>
      <c r="AM137" s="134">
        <f>IF(AK137=0,0,Таблиця!AZ267)</f>
        <v>16.7</v>
      </c>
      <c r="AN137" s="132">
        <f>AK137*AM137</f>
        <v>38.2263</v>
      </c>
      <c r="AQ137" s="54"/>
      <c r="AR137" s="54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61"/>
      <c r="B138" s="161"/>
      <c r="C138" s="161"/>
      <c r="D138" s="161"/>
      <c r="E138" s="162"/>
      <c r="F138" s="59" t="s">
        <v>96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>
        <f t="shared" si="167"/>
      </c>
      <c r="L138" s="118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</c>
      <c r="P138" s="43">
        <f t="shared" si="168"/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  <v>2.289</v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/>
      <c r="AF138" s="43">
        <f t="shared" si="169"/>
      </c>
      <c r="AG138" s="85">
        <f t="shared" si="169"/>
      </c>
      <c r="AH138" s="145"/>
      <c r="AI138" s="142"/>
      <c r="AJ138" s="143"/>
      <c r="AK138" s="146"/>
      <c r="AL138" s="146"/>
      <c r="AM138" s="135"/>
      <c r="AN138" s="133"/>
      <c r="AQ138" s="54"/>
      <c r="AR138" s="54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55" t="s">
        <v>115</v>
      </c>
      <c r="B139" s="155"/>
      <c r="C139" s="155"/>
      <c r="D139" s="155"/>
      <c r="E139" s="156"/>
      <c r="F139" s="64" t="s">
        <v>95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20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/>
      <c r="AF139" s="33">
        <f>VLOOKUP(ужин7,таб,50,FALSE)</f>
        <v>0</v>
      </c>
      <c r="AG139" s="87">
        <f>VLOOKUP(ужин8,таб,50,FALSE)</f>
        <v>0</v>
      </c>
      <c r="AH139" s="144"/>
      <c r="AI139" s="142">
        <f>AK139/сред</f>
        <v>0</v>
      </c>
      <c r="AJ139" s="143"/>
      <c r="AK139" s="146">
        <f>SUM(G140:AG140)</f>
        <v>0</v>
      </c>
      <c r="AL139" s="146"/>
      <c r="AM139" s="134">
        <f>IF(AK139=0,0,Таблиця!AY267)</f>
        <v>0</v>
      </c>
      <c r="AN139" s="132">
        <f>AK139*AM139</f>
        <v>0</v>
      </c>
      <c r="AQ139" s="54"/>
      <c r="AR139" s="54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55"/>
      <c r="B140" s="155"/>
      <c r="C140" s="155"/>
      <c r="D140" s="155"/>
      <c r="E140" s="156"/>
      <c r="F140" s="59" t="s">
        <v>96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>
        <f t="shared" si="170"/>
      </c>
      <c r="L140" s="117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/>
      <c r="AF140" s="44">
        <f t="shared" si="172"/>
      </c>
      <c r="AG140" s="82">
        <f t="shared" si="172"/>
      </c>
      <c r="AH140" s="145"/>
      <c r="AI140" s="142"/>
      <c r="AJ140" s="143"/>
      <c r="AK140" s="146"/>
      <c r="AL140" s="146"/>
      <c r="AM140" s="135"/>
      <c r="AN140" s="133"/>
      <c r="AQ140" s="54"/>
      <c r="AR140" s="54">
        <v>140</v>
      </c>
      <c r="CJ140" s="54"/>
      <c r="DE140" s="54"/>
    </row>
    <row r="141" spans="1:109" ht="30.75" customHeight="1">
      <c r="A141" s="159" t="s">
        <v>41</v>
      </c>
      <c r="B141" s="159"/>
      <c r="C141" s="159"/>
      <c r="D141" s="159"/>
      <c r="E141" s="160"/>
      <c r="F141" s="64" t="s">
        <v>95</v>
      </c>
      <c r="G141" s="73">
        <f>VLOOKUP(завтрак1,таб,49,FALSE)</f>
        <v>0</v>
      </c>
      <c r="H141" s="35">
        <f>VLOOKUP(завтрак2,таб,49,FALSE)</f>
        <v>0</v>
      </c>
      <c r="I141" s="36">
        <v>1</v>
      </c>
      <c r="J141" s="35">
        <f>VLOOKUP(завтрак4,таб,49,FALSE)</f>
        <v>0</v>
      </c>
      <c r="K141" s="36">
        <f>VLOOKUP(завтрак5,таб,49,FALSE)</f>
        <v>0</v>
      </c>
      <c r="L141" s="121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f>VLOOKUP(обед2,таб,49,FALSE)</f>
        <v>0</v>
      </c>
      <c r="Q141" s="35">
        <f>VLOOKUP(обед3,таб,49,FALSE)</f>
        <v>0</v>
      </c>
      <c r="R141" s="36">
        <f>VLOOKUP(обед4,таб,49,FALSE)</f>
        <v>0</v>
      </c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f>VLOOKUP(ужин2,таб,49,FALSE)</f>
        <v>0</v>
      </c>
      <c r="AB141" s="36">
        <v>1</v>
      </c>
      <c r="AC141" s="35">
        <f>VLOOKUP(ужин4,таб,49,FALSE)</f>
        <v>0</v>
      </c>
      <c r="AD141" s="36">
        <f>VLOOKUP(ужин5,таб,49,FALSE)</f>
        <v>0</v>
      </c>
      <c r="AE141" s="35"/>
      <c r="AF141" s="36">
        <f>VLOOKUP(ужин7,таб,49,FALSE)</f>
        <v>0</v>
      </c>
      <c r="AG141" s="88">
        <f>VLOOKUP(ужин8,таб,49,FALSE)</f>
        <v>0</v>
      </c>
      <c r="AH141" s="144"/>
      <c r="AI141" s="142">
        <f>AK141/сред</f>
        <v>0.001909090909090909</v>
      </c>
      <c r="AJ141" s="143"/>
      <c r="AK141" s="146">
        <f>SUM(G142:AG142)</f>
        <v>0.041999999999999996</v>
      </c>
      <c r="AL141" s="146"/>
      <c r="AM141" s="134">
        <f>IF(AK141=0,0,Таблиця!AX267)</f>
        <v>52.8</v>
      </c>
      <c r="AN141" s="132">
        <f>AK141*AM141</f>
        <v>2.2175999999999996</v>
      </c>
      <c r="AQ141" s="54"/>
      <c r="AR141" s="54">
        <v>141</v>
      </c>
      <c r="DE141" s="54"/>
    </row>
    <row r="142" spans="1:109" ht="30.75" customHeight="1">
      <c r="A142" s="161"/>
      <c r="B142" s="161"/>
      <c r="C142" s="161"/>
      <c r="D142" s="161"/>
      <c r="E142" s="162"/>
      <c r="F142" s="59" t="s">
        <v>96</v>
      </c>
      <c r="G142" s="74">
        <f aca="true" t="shared" si="173" ref="G142:N142">IF(G141=0,"",завтракл*G141/1000)</f>
      </c>
      <c r="H142" s="47">
        <f t="shared" si="173"/>
      </c>
      <c r="I142" s="43">
        <f t="shared" si="173"/>
        <v>0.024</v>
      </c>
      <c r="J142" s="47">
        <f t="shared" si="173"/>
      </c>
      <c r="K142" s="43">
        <f t="shared" si="173"/>
      </c>
      <c r="L142" s="118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</c>
      <c r="Q142" s="47">
        <f t="shared" si="174"/>
      </c>
      <c r="R142" s="43">
        <f t="shared" si="174"/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</c>
      <c r="AB142" s="43">
        <f t="shared" si="175"/>
        <v>0.018</v>
      </c>
      <c r="AC142" s="47">
        <f t="shared" si="175"/>
      </c>
      <c r="AD142" s="43">
        <f t="shared" si="175"/>
      </c>
      <c r="AE142" s="47"/>
      <c r="AF142" s="43">
        <f t="shared" si="175"/>
      </c>
      <c r="AG142" s="85">
        <f t="shared" si="175"/>
      </c>
      <c r="AH142" s="145"/>
      <c r="AI142" s="142"/>
      <c r="AJ142" s="143"/>
      <c r="AK142" s="146"/>
      <c r="AL142" s="146"/>
      <c r="AM142" s="135"/>
      <c r="AN142" s="133"/>
      <c r="AQ142" s="54"/>
      <c r="AR142" s="54">
        <v>142</v>
      </c>
      <c r="CH142" s="54"/>
      <c r="DE142" s="54"/>
    </row>
    <row r="143" spans="1:109" ht="30.75" customHeight="1">
      <c r="A143" s="166" t="s">
        <v>56</v>
      </c>
      <c r="B143" s="166"/>
      <c r="C143" s="166"/>
      <c r="D143" s="166"/>
      <c r="E143" s="167"/>
      <c r="F143" s="64" t="s">
        <v>95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20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/>
      <c r="AF143" s="33">
        <f>VLOOKUP(ужин7,таб,68,FALSE)</f>
        <v>0</v>
      </c>
      <c r="AG143" s="87">
        <f>VLOOKUP(ужин8,таб,68,FALSE)</f>
        <v>0</v>
      </c>
      <c r="AH143" s="144"/>
      <c r="AI143" s="142">
        <f>AK143/сред</f>
        <v>0</v>
      </c>
      <c r="AJ143" s="143"/>
      <c r="AK143" s="146">
        <f>SUM(G144:AG144)</f>
        <v>0</v>
      </c>
      <c r="AL143" s="146"/>
      <c r="AM143" s="134">
        <f>IF(AK143=0,0,Таблиця!BQ267)</f>
        <v>0</v>
      </c>
      <c r="AN143" s="132">
        <f>AK143*AM143</f>
        <v>0</v>
      </c>
      <c r="AQ143" s="54"/>
      <c r="AR143" s="54">
        <v>143</v>
      </c>
      <c r="DE143" s="54"/>
    </row>
    <row r="144" spans="1:109" ht="30.75" customHeight="1">
      <c r="A144" s="166"/>
      <c r="B144" s="166"/>
      <c r="C144" s="166"/>
      <c r="D144" s="166"/>
      <c r="E144" s="167"/>
      <c r="F144" s="59" t="s">
        <v>96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>
        <f t="shared" si="176"/>
      </c>
      <c r="L144" s="117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/>
      <c r="AF144" s="44">
        <f t="shared" si="178"/>
      </c>
      <c r="AG144" s="82">
        <f t="shared" si="178"/>
      </c>
      <c r="AH144" s="145"/>
      <c r="AI144" s="142"/>
      <c r="AJ144" s="143"/>
      <c r="AK144" s="146"/>
      <c r="AL144" s="146"/>
      <c r="AM144" s="135"/>
      <c r="AN144" s="133"/>
      <c r="AQ144" s="54"/>
      <c r="AR144" s="54">
        <v>144</v>
      </c>
      <c r="DE144" s="54"/>
    </row>
    <row r="145" spans="1:109" ht="30.75" customHeight="1">
      <c r="A145" s="159" t="s">
        <v>42</v>
      </c>
      <c r="B145" s="159"/>
      <c r="C145" s="159"/>
      <c r="D145" s="159"/>
      <c r="E145" s="160"/>
      <c r="F145" s="64" t="s">
        <v>95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21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/>
      <c r="AF145" s="36">
        <f>VLOOKUP(ужин7,таб,52,FALSE)</f>
        <v>0</v>
      </c>
      <c r="AG145" s="88">
        <f>VLOOKUP(ужин8,таб,52,FALSE)</f>
        <v>0</v>
      </c>
      <c r="AH145" s="144"/>
      <c r="AI145" s="142">
        <f>AK145/сред</f>
        <v>0</v>
      </c>
      <c r="AJ145" s="143"/>
      <c r="AK145" s="146">
        <f>SUM(G146:AG146)</f>
        <v>0</v>
      </c>
      <c r="AL145" s="146"/>
      <c r="AM145" s="134">
        <f>IF(AK145=0,0,Таблиця!EK267)</f>
        <v>0</v>
      </c>
      <c r="AN145" s="132">
        <f>AK145*AM145</f>
        <v>0</v>
      </c>
      <c r="AQ145" s="54"/>
      <c r="AR145" s="54">
        <v>145</v>
      </c>
      <c r="DE145" s="54"/>
    </row>
    <row r="146" spans="1:109" ht="30.75" customHeight="1">
      <c r="A146" s="161"/>
      <c r="B146" s="161"/>
      <c r="C146" s="161"/>
      <c r="D146" s="161"/>
      <c r="E146" s="162"/>
      <c r="F146" s="59" t="s">
        <v>96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>
        <f t="shared" si="179"/>
      </c>
      <c r="L146" s="118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/>
      <c r="AF146" s="43">
        <f t="shared" si="181"/>
      </c>
      <c r="AG146" s="85">
        <f t="shared" si="181"/>
      </c>
      <c r="AH146" s="145"/>
      <c r="AI146" s="142"/>
      <c r="AJ146" s="143"/>
      <c r="AK146" s="146"/>
      <c r="AL146" s="146"/>
      <c r="AM146" s="135"/>
      <c r="AN146" s="133"/>
      <c r="AQ146" s="54"/>
      <c r="AR146" s="54">
        <v>146</v>
      </c>
      <c r="DE146" s="54"/>
    </row>
    <row r="147" spans="1:109" ht="25.5">
      <c r="A147" s="166" t="s">
        <v>440</v>
      </c>
      <c r="B147" s="166"/>
      <c r="C147" s="166"/>
      <c r="D147" s="166"/>
      <c r="E147" s="167"/>
      <c r="F147" s="64" t="s">
        <v>95</v>
      </c>
      <c r="G147" s="71">
        <f>IF(завтрак1="хліб пшеничний",100,(VLOOKUP(завтрак1,таб,53,FALSE)))</f>
        <v>0</v>
      </c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>
        <v>50</v>
      </c>
      <c r="K147" s="32">
        <f>IF(завтрак5="хліб пшеничний",100,(VLOOKUP(завтрак5,таб,53,FALSE)))</f>
        <v>0</v>
      </c>
      <c r="L147" s="120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>
        <f>IF(обед4="хліб пшеничний",150,(VLOOKUP(обед4,таб,53,FALSE)))</f>
        <v>0</v>
      </c>
      <c r="S147" s="33">
        <v>50</v>
      </c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v>20.4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>
        <f>IF(ужин4="хліб пшеничний",80,(VLOOKUP(ужин4,таб,53,FALSE)))</f>
        <v>0</v>
      </c>
      <c r="AD147" s="32">
        <v>50</v>
      </c>
      <c r="AE147" s="32"/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4">
        <v>616001</v>
      </c>
      <c r="AI147" s="142">
        <f>AK147/сред</f>
        <v>0.16947272727272725</v>
      </c>
      <c r="AJ147" s="143"/>
      <c r="AK147" s="146">
        <f>SUM(G148:AG148)</f>
        <v>3.7283999999999997</v>
      </c>
      <c r="AL147" s="146"/>
      <c r="AM147" s="134">
        <f>IF(AK147=0,0,Таблиця!DX267)</f>
        <v>27.72</v>
      </c>
      <c r="AN147" s="132">
        <f>AK147*AM147</f>
        <v>103.35124799999998</v>
      </c>
      <c r="AQ147" s="54"/>
      <c r="AR147" s="54">
        <v>147</v>
      </c>
      <c r="DE147" s="54"/>
    </row>
    <row r="148" spans="1:109" ht="30.75" customHeight="1">
      <c r="A148" s="166"/>
      <c r="B148" s="166"/>
      <c r="C148" s="166"/>
      <c r="D148" s="166"/>
      <c r="E148" s="167"/>
      <c r="F148" s="59" t="s">
        <v>96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  <v>1.2</v>
      </c>
      <c r="K148" s="44">
        <f t="shared" si="182"/>
      </c>
      <c r="L148" s="117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>
        <f t="shared" si="183"/>
      </c>
      <c r="S148" s="45">
        <f t="shared" si="183"/>
        <v>1.2</v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  <v>0.4284</v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  <v>0.9</v>
      </c>
      <c r="AE148" s="45"/>
      <c r="AF148" s="44">
        <f t="shared" si="184"/>
      </c>
      <c r="AG148" s="82">
        <f t="shared" si="184"/>
      </c>
      <c r="AH148" s="145"/>
      <c r="AI148" s="142"/>
      <c r="AJ148" s="143"/>
      <c r="AK148" s="146"/>
      <c r="AL148" s="146"/>
      <c r="AM148" s="135"/>
      <c r="AN148" s="133"/>
      <c r="AQ148" s="54"/>
      <c r="AR148" s="54">
        <v>148</v>
      </c>
      <c r="DE148" s="54"/>
    </row>
    <row r="149" spans="1:109" ht="30.75" customHeight="1" hidden="1">
      <c r="A149" s="159" t="s">
        <v>43</v>
      </c>
      <c r="B149" s="159"/>
      <c r="C149" s="159"/>
      <c r="D149" s="159"/>
      <c r="E149" s="160"/>
      <c r="F149" s="64" t="s">
        <v>95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0</v>
      </c>
      <c r="K149" s="36">
        <f>IF(завтрак5="хліб житній",50,(VLOOKUP(завтрак5,таб,54,FALSE)))</f>
        <v>0</v>
      </c>
      <c r="L149" s="121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0</v>
      </c>
      <c r="S149" s="35">
        <f>IF(обед5="хліб житній",100,VLOOKUP(обед5,таб,54,FALSE))</f>
        <v>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/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0</v>
      </c>
      <c r="AD149" s="36">
        <f>IF(ужин5="хліб житній",50,VLOOKUP(ужин5,таб,54,FALSE))</f>
        <v>0</v>
      </c>
      <c r="AE149" s="35"/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4">
        <v>616002</v>
      </c>
      <c r="AI149" s="142">
        <f>AK149/сред</f>
        <v>0</v>
      </c>
      <c r="AJ149" s="143"/>
      <c r="AK149" s="146">
        <f>SUM(G150:AG150)</f>
        <v>0</v>
      </c>
      <c r="AL149" s="146"/>
      <c r="AM149" s="134">
        <f>IF(AK149=0,0,Таблиця!BC267)</f>
        <v>0</v>
      </c>
      <c r="AN149" s="132">
        <f>AK149*AM149</f>
        <v>0</v>
      </c>
      <c r="AQ149" s="54"/>
      <c r="AR149" s="54">
        <v>149</v>
      </c>
      <c r="DE149" s="54"/>
    </row>
    <row r="150" spans="1:109" ht="30.75" customHeight="1" hidden="1">
      <c r="A150" s="161"/>
      <c r="B150" s="161"/>
      <c r="C150" s="161"/>
      <c r="D150" s="161"/>
      <c r="E150" s="162"/>
      <c r="F150" s="65" t="s">
        <v>96</v>
      </c>
      <c r="G150" s="74">
        <f aca="true" t="shared" si="185" ref="G150:N150">IF(G149=0,"",завтракл*G149/1000)</f>
      </c>
      <c r="H150" s="43">
        <f t="shared" si="185"/>
      </c>
      <c r="I150" s="43">
        <f t="shared" si="185"/>
      </c>
      <c r="J150" s="43">
        <f t="shared" si="185"/>
      </c>
      <c r="K150" s="43">
        <f t="shared" si="185"/>
      </c>
      <c r="L150" s="118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</c>
      <c r="S150" s="47">
        <f t="shared" si="186"/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</c>
      <c r="AD150" s="43">
        <f t="shared" si="187"/>
      </c>
      <c r="AE150" s="47"/>
      <c r="AF150" s="43">
        <f t="shared" si="187"/>
      </c>
      <c r="AG150" s="85">
        <f t="shared" si="187"/>
      </c>
      <c r="AH150" s="145"/>
      <c r="AI150" s="142"/>
      <c r="AJ150" s="143"/>
      <c r="AK150" s="146"/>
      <c r="AL150" s="146"/>
      <c r="AM150" s="135"/>
      <c r="AN150" s="133"/>
      <c r="AQ150" s="54"/>
      <c r="AR150" s="54">
        <v>150</v>
      </c>
      <c r="DE150" s="54"/>
    </row>
    <row r="151" spans="1:109" ht="30.75" customHeight="1" hidden="1">
      <c r="A151" s="155" t="s">
        <v>128</v>
      </c>
      <c r="B151" s="155"/>
      <c r="C151" s="155"/>
      <c r="D151" s="155"/>
      <c r="E151" s="156"/>
      <c r="F151" s="64" t="s">
        <v>95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6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/>
      <c r="AF151" s="33">
        <f>VLOOKUP(ужин7,таб,55,FALSE)</f>
        <v>0</v>
      </c>
      <c r="AG151" s="87">
        <f>VLOOKUP(ужин8,таб,55,FALSE)</f>
        <v>0</v>
      </c>
      <c r="AH151" s="144"/>
      <c r="AI151" s="220">
        <f>AK151/сред</f>
        <v>0</v>
      </c>
      <c r="AJ151" s="221"/>
      <c r="AK151" s="221">
        <f>SUM(G152:AG152)</f>
        <v>0</v>
      </c>
      <c r="AL151" s="221"/>
      <c r="AM151" s="134">
        <f>IF(AK151=0,0,Таблиця!BD267)</f>
        <v>0</v>
      </c>
      <c r="AN151" s="132">
        <f>AK151*AM151</f>
        <v>0</v>
      </c>
      <c r="AQ151" s="54"/>
      <c r="AR151" s="54">
        <v>151</v>
      </c>
      <c r="DE151" s="54"/>
    </row>
    <row r="152" spans="1:109" ht="30.75" customHeight="1" hidden="1">
      <c r="A152" s="155"/>
      <c r="B152" s="155"/>
      <c r="C152" s="155"/>
      <c r="D152" s="155"/>
      <c r="E152" s="156"/>
      <c r="F152" s="65" t="s">
        <v>96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122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/>
      <c r="AF152" s="23">
        <f t="shared" si="190"/>
      </c>
      <c r="AG152" s="83">
        <f t="shared" si="190"/>
      </c>
      <c r="AH152" s="145"/>
      <c r="AI152" s="220"/>
      <c r="AJ152" s="221"/>
      <c r="AK152" s="221"/>
      <c r="AL152" s="221"/>
      <c r="AM152" s="135"/>
      <c r="AN152" s="133"/>
      <c r="AQ152" s="54"/>
      <c r="AR152" s="54">
        <v>152</v>
      </c>
      <c r="DE152" s="54"/>
    </row>
    <row r="153" spans="1:109" ht="30.75" customHeight="1" hidden="1">
      <c r="A153" s="159" t="s">
        <v>485</v>
      </c>
      <c r="B153" s="159"/>
      <c r="C153" s="159"/>
      <c r="D153" s="159"/>
      <c r="E153" s="160"/>
      <c r="F153" s="64" t="s">
        <v>95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9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/>
      <c r="AF153" s="36">
        <f>VLOOKUP(ужин7,таб,56,FALSE)</f>
        <v>0</v>
      </c>
      <c r="AG153" s="88">
        <f>VLOOKUP(ужин8,таб,56,FALSE)</f>
        <v>0</v>
      </c>
      <c r="AH153" s="144"/>
      <c r="AI153" s="142">
        <f>AK153/сред</f>
        <v>0</v>
      </c>
      <c r="AJ153" s="143"/>
      <c r="AK153" s="146">
        <f>SUM(G154:AG154)</f>
        <v>0</v>
      </c>
      <c r="AL153" s="146"/>
      <c r="AM153" s="134">
        <f>IF(AK153=0,0,Таблиця!BE267)</f>
        <v>0</v>
      </c>
      <c r="AN153" s="132">
        <f>AK153*AM153</f>
        <v>0</v>
      </c>
      <c r="AQ153" s="54"/>
      <c r="AR153" s="54">
        <v>153</v>
      </c>
      <c r="DE153" s="54"/>
    </row>
    <row r="154" spans="1:109" ht="30.75" customHeight="1" hidden="1">
      <c r="A154" s="161"/>
      <c r="B154" s="161"/>
      <c r="C154" s="161"/>
      <c r="D154" s="161"/>
      <c r="E154" s="162"/>
      <c r="F154" s="65" t="s">
        <v>96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>
        <f t="shared" si="191"/>
      </c>
      <c r="L154" s="118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/>
      <c r="AF154" s="43">
        <f t="shared" si="193"/>
      </c>
      <c r="AG154" s="85">
        <f t="shared" si="193"/>
      </c>
      <c r="AH154" s="145"/>
      <c r="AI154" s="142"/>
      <c r="AJ154" s="143"/>
      <c r="AK154" s="146"/>
      <c r="AL154" s="146"/>
      <c r="AM154" s="135"/>
      <c r="AN154" s="133"/>
      <c r="AQ154" s="54"/>
      <c r="AR154" s="54">
        <v>154</v>
      </c>
      <c r="DE154" s="54"/>
    </row>
    <row r="155" spans="1:109" ht="30.75" customHeight="1" hidden="1">
      <c r="A155" s="166" t="s">
        <v>117</v>
      </c>
      <c r="B155" s="166"/>
      <c r="C155" s="166"/>
      <c r="D155" s="166"/>
      <c r="E155" s="167"/>
      <c r="F155" s="64" t="s">
        <v>95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6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/>
      <c r="AF155" s="33">
        <f>VLOOKUP(ужин7,таб,57,FALSE)</f>
        <v>0</v>
      </c>
      <c r="AG155" s="87">
        <f>VLOOKUP(ужин8,таб,57,FALSE)</f>
        <v>0</v>
      </c>
      <c r="AH155" s="144"/>
      <c r="AI155" s="142">
        <f>AK155/сред</f>
        <v>0</v>
      </c>
      <c r="AJ155" s="143"/>
      <c r="AK155" s="146">
        <f>SUM(G156:AG156)</f>
        <v>0</v>
      </c>
      <c r="AL155" s="146"/>
      <c r="AM155" s="134">
        <f>IF(AK155=0,0,Таблиця!BF267)</f>
        <v>0</v>
      </c>
      <c r="AN155" s="132">
        <f>AK155*AM155</f>
        <v>0</v>
      </c>
      <c r="AQ155" s="54"/>
      <c r="AR155" s="54">
        <v>155</v>
      </c>
      <c r="DE155" s="54"/>
    </row>
    <row r="156" spans="1:109" ht="30.75" customHeight="1" hidden="1">
      <c r="A156" s="166"/>
      <c r="B156" s="166"/>
      <c r="C156" s="166"/>
      <c r="D156" s="166"/>
      <c r="E156" s="167"/>
      <c r="F156" s="65" t="s">
        <v>96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>
        <f t="shared" si="194"/>
      </c>
      <c r="L156" s="117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/>
      <c r="AF156" s="44">
        <f t="shared" si="196"/>
      </c>
      <c r="AG156" s="82">
        <f t="shared" si="196"/>
      </c>
      <c r="AH156" s="145"/>
      <c r="AI156" s="142"/>
      <c r="AJ156" s="143"/>
      <c r="AK156" s="146"/>
      <c r="AL156" s="146"/>
      <c r="AM156" s="135"/>
      <c r="AN156" s="133"/>
      <c r="AQ156" s="54"/>
      <c r="AR156" s="54">
        <v>156</v>
      </c>
      <c r="DE156" s="54"/>
    </row>
    <row r="157" spans="1:109" ht="25.5" hidden="1">
      <c r="A157" s="159" t="s">
        <v>45</v>
      </c>
      <c r="B157" s="159"/>
      <c r="C157" s="159"/>
      <c r="D157" s="159"/>
      <c r="E157" s="160"/>
      <c r="F157" s="64" t="s">
        <v>95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21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/>
      <c r="AF157" s="36">
        <f>VLOOKUP(ужин7,таб,58,FALSE)</f>
        <v>0</v>
      </c>
      <c r="AG157" s="88">
        <f>VLOOKUP(ужин8,таб,58,FALSE)</f>
        <v>0</v>
      </c>
      <c r="AH157" s="144">
        <v>616015</v>
      </c>
      <c r="AI157" s="142">
        <f>AK157/сред</f>
        <v>0</v>
      </c>
      <c r="AJ157" s="143"/>
      <c r="AK157" s="146">
        <f>SUM(G158:AG158)</f>
        <v>0</v>
      </c>
      <c r="AL157" s="146"/>
      <c r="AM157" s="134">
        <f>IF(AK157=0,0,Таблиця!EL267)</f>
        <v>0</v>
      </c>
      <c r="AN157" s="132">
        <f>AK157*AM157</f>
        <v>0</v>
      </c>
      <c r="AQ157" s="54"/>
      <c r="AR157" s="54">
        <v>157</v>
      </c>
      <c r="DE157" s="54"/>
    </row>
    <row r="158" spans="1:109" ht="30.75" customHeight="1" hidden="1">
      <c r="A158" s="161"/>
      <c r="B158" s="161"/>
      <c r="C158" s="161"/>
      <c r="D158" s="161"/>
      <c r="E158" s="162"/>
      <c r="F158" s="59" t="s">
        <v>96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>
        <f t="shared" si="197"/>
      </c>
      <c r="L158" s="118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/>
      <c r="AF158" s="43">
        <f t="shared" si="199"/>
      </c>
      <c r="AG158" s="85">
        <f t="shared" si="199"/>
      </c>
      <c r="AH158" s="145"/>
      <c r="AI158" s="142"/>
      <c r="AJ158" s="143"/>
      <c r="AK158" s="146"/>
      <c r="AL158" s="146"/>
      <c r="AM158" s="135"/>
      <c r="AN158" s="133"/>
      <c r="AQ158" s="54"/>
      <c r="AR158" s="54">
        <v>158</v>
      </c>
      <c r="DE158" s="54"/>
    </row>
    <row r="159" spans="1:109" ht="30.75" customHeight="1" hidden="1">
      <c r="A159" s="166" t="s">
        <v>44</v>
      </c>
      <c r="B159" s="166"/>
      <c r="C159" s="166"/>
      <c r="D159" s="166"/>
      <c r="E159" s="167"/>
      <c r="F159" s="64" t="s">
        <v>95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20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/>
      <c r="AF159" s="33">
        <f>VLOOKUP(ужин7,таб,59,FALSE)</f>
        <v>0</v>
      </c>
      <c r="AG159" s="87">
        <f>VLOOKUP(ужин8,таб,59,FALSE)</f>
        <v>0</v>
      </c>
      <c r="AH159" s="144"/>
      <c r="AI159" s="142">
        <f>AK159/сред</f>
        <v>0</v>
      </c>
      <c r="AJ159" s="143"/>
      <c r="AK159" s="146">
        <f>SUM(G160:AG160)</f>
        <v>0</v>
      </c>
      <c r="AL159" s="146"/>
      <c r="AM159" s="134">
        <f>IF(AK159=0,0,Таблиця!BH267)</f>
        <v>0</v>
      </c>
      <c r="AN159" s="132">
        <f>AK159*AM159</f>
        <v>0</v>
      </c>
      <c r="AQ159" s="54"/>
      <c r="AR159" s="54">
        <v>159</v>
      </c>
      <c r="DE159" s="54"/>
    </row>
    <row r="160" spans="1:109" ht="30.75" customHeight="1" hidden="1">
      <c r="A160" s="166"/>
      <c r="B160" s="166"/>
      <c r="C160" s="166"/>
      <c r="D160" s="166"/>
      <c r="E160" s="167"/>
      <c r="F160" s="59" t="s">
        <v>96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>
        <f t="shared" si="200"/>
      </c>
      <c r="L160" s="117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/>
      <c r="AF160" s="44">
        <f t="shared" si="202"/>
      </c>
      <c r="AG160" s="82">
        <f t="shared" si="202"/>
      </c>
      <c r="AH160" s="145"/>
      <c r="AI160" s="142"/>
      <c r="AJ160" s="143"/>
      <c r="AK160" s="146"/>
      <c r="AL160" s="146"/>
      <c r="AM160" s="135"/>
      <c r="AN160" s="133"/>
      <c r="AQ160" s="54"/>
      <c r="AR160" s="54">
        <v>160</v>
      </c>
      <c r="DE160" s="54"/>
    </row>
    <row r="161" spans="1:109" ht="30.75" customHeight="1" hidden="1">
      <c r="A161" s="159" t="s">
        <v>2</v>
      </c>
      <c r="B161" s="159"/>
      <c r="C161" s="159"/>
      <c r="D161" s="159"/>
      <c r="E161" s="160"/>
      <c r="F161" s="64" t="s">
        <v>95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</v>
      </c>
      <c r="L161" s="121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/>
      <c r="AF161" s="36">
        <f>VLOOKUP(ужин7,таб,60,FALSE)</f>
        <v>0</v>
      </c>
      <c r="AG161" s="88">
        <f>VLOOKUP(ужин8,таб,60,FALSE)</f>
        <v>0</v>
      </c>
      <c r="AH161" s="144">
        <v>616022</v>
      </c>
      <c r="AI161" s="142">
        <f>AK161/сред</f>
        <v>0</v>
      </c>
      <c r="AJ161" s="143"/>
      <c r="AK161" s="146">
        <f>SUM(G162:AG162)</f>
        <v>0</v>
      </c>
      <c r="AL161" s="146"/>
      <c r="AM161" s="134">
        <f>IF(AK161=0,0,Таблиця!BI267)</f>
        <v>0</v>
      </c>
      <c r="AN161" s="132">
        <f>AK161*AM161</f>
        <v>0</v>
      </c>
      <c r="AQ161" s="54"/>
      <c r="AR161" s="54">
        <v>161</v>
      </c>
      <c r="DE161" s="54"/>
    </row>
    <row r="162" spans="1:109" ht="30.75" customHeight="1" hidden="1">
      <c r="A162" s="161"/>
      <c r="B162" s="161"/>
      <c r="C162" s="161"/>
      <c r="D162" s="161"/>
      <c r="E162" s="162"/>
      <c r="F162" s="59" t="s">
        <v>96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</c>
      <c r="J162" s="47">
        <f t="shared" si="203"/>
      </c>
      <c r="K162" s="43">
        <f t="shared" si="203"/>
      </c>
      <c r="L162" s="118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/>
      <c r="AF162" s="43">
        <f t="shared" si="205"/>
      </c>
      <c r="AG162" s="85">
        <f t="shared" si="205"/>
      </c>
      <c r="AH162" s="145"/>
      <c r="AI162" s="142"/>
      <c r="AJ162" s="143"/>
      <c r="AK162" s="146"/>
      <c r="AL162" s="146"/>
      <c r="AM162" s="135"/>
      <c r="AN162" s="133"/>
      <c r="AQ162" s="54"/>
      <c r="AR162" s="54">
        <v>162</v>
      </c>
      <c r="DE162" s="54"/>
    </row>
    <row r="163" spans="1:109" ht="30.75" customHeight="1" hidden="1">
      <c r="A163" s="166" t="s">
        <v>46</v>
      </c>
      <c r="B163" s="166"/>
      <c r="C163" s="166"/>
      <c r="D163" s="166"/>
      <c r="E163" s="167"/>
      <c r="F163" s="64" t="s">
        <v>95</v>
      </c>
      <c r="G163" s="71">
        <f>VLOOKUP(завтрак1,таб,61,FALSE)</f>
        <v>0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20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/>
      <c r="AF163" s="33">
        <f>VLOOKUP(ужин7,таб,61,FALSE)</f>
        <v>0</v>
      </c>
      <c r="AG163" s="87">
        <f>VLOOKUP(ужин8,таб,61,FALSE)</f>
        <v>0</v>
      </c>
      <c r="AH163" s="144"/>
      <c r="AI163" s="142">
        <f>AK163/сред</f>
        <v>0</v>
      </c>
      <c r="AJ163" s="143"/>
      <c r="AK163" s="146">
        <f>SUM(G164:AG164)</f>
        <v>0</v>
      </c>
      <c r="AL163" s="146"/>
      <c r="AM163" s="134">
        <f>IF(AK163=0,0,Таблиця!BJ267)</f>
        <v>0</v>
      </c>
      <c r="AN163" s="132">
        <f>AK163*AM163</f>
        <v>0</v>
      </c>
      <c r="AQ163" s="54"/>
      <c r="AR163" s="54">
        <v>163</v>
      </c>
      <c r="DE163" s="54"/>
    </row>
    <row r="164" spans="1:109" ht="30.75" customHeight="1" hidden="1">
      <c r="A164" s="166"/>
      <c r="B164" s="166"/>
      <c r="C164" s="166"/>
      <c r="D164" s="166"/>
      <c r="E164" s="167"/>
      <c r="F164" s="59" t="s">
        <v>96</v>
      </c>
      <c r="G164" s="72">
        <f aca="true" t="shared" si="206" ref="G164:N164">IF(G163=0,"",завтракл*G163/1000)</f>
      </c>
      <c r="H164" s="45">
        <f t="shared" si="206"/>
      </c>
      <c r="I164" s="44">
        <f t="shared" si="206"/>
      </c>
      <c r="J164" s="45">
        <f t="shared" si="206"/>
      </c>
      <c r="K164" s="44">
        <f t="shared" si="206"/>
      </c>
      <c r="L164" s="117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/>
      <c r="AF164" s="44">
        <f t="shared" si="208"/>
      </c>
      <c r="AG164" s="82">
        <f t="shared" si="208"/>
      </c>
      <c r="AH164" s="145"/>
      <c r="AI164" s="142"/>
      <c r="AJ164" s="143"/>
      <c r="AK164" s="146"/>
      <c r="AL164" s="146"/>
      <c r="AM164" s="135"/>
      <c r="AN164" s="133"/>
      <c r="AQ164" s="54"/>
      <c r="AR164" s="54">
        <v>164</v>
      </c>
      <c r="DE164" s="54"/>
    </row>
    <row r="165" spans="1:109" ht="30.75" customHeight="1" hidden="1">
      <c r="A165" s="159" t="s">
        <v>47</v>
      </c>
      <c r="B165" s="159"/>
      <c r="C165" s="159"/>
      <c r="D165" s="159"/>
      <c r="E165" s="160"/>
      <c r="F165" s="64" t="s">
        <v>95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/>
      <c r="L165" s="121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/>
      <c r="AF165" s="36">
        <f>VLOOKUP(ужин7,таб,62,FALSE)</f>
        <v>0</v>
      </c>
      <c r="AG165" s="88">
        <f>VLOOKUP(ужин8,таб,62,FALSE)</f>
        <v>0</v>
      </c>
      <c r="AH165" s="144"/>
      <c r="AI165" s="142">
        <f>AK165/сред</f>
        <v>0</v>
      </c>
      <c r="AJ165" s="143"/>
      <c r="AK165" s="146">
        <f>SUM(G166:AG166)</f>
        <v>0</v>
      </c>
      <c r="AL165" s="146"/>
      <c r="AM165" s="134">
        <f>IF(AK165=0,0,Таблиця!BK267)</f>
        <v>0</v>
      </c>
      <c r="AN165" s="132">
        <f>AK165*AM165</f>
        <v>0</v>
      </c>
      <c r="AQ165" s="54"/>
      <c r="AR165" s="54">
        <v>165</v>
      </c>
      <c r="DE165" s="54"/>
    </row>
    <row r="166" spans="1:109" ht="30.75" customHeight="1" hidden="1">
      <c r="A166" s="161"/>
      <c r="B166" s="161"/>
      <c r="C166" s="161"/>
      <c r="D166" s="161"/>
      <c r="E166" s="162"/>
      <c r="F166" s="59" t="s">
        <v>96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>
        <f t="shared" si="209"/>
      </c>
      <c r="L166" s="118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/>
      <c r="AF166" s="43">
        <f t="shared" si="211"/>
      </c>
      <c r="AG166" s="85">
        <f t="shared" si="211"/>
      </c>
      <c r="AH166" s="145"/>
      <c r="AI166" s="142"/>
      <c r="AJ166" s="143"/>
      <c r="AK166" s="146"/>
      <c r="AL166" s="146"/>
      <c r="AM166" s="135"/>
      <c r="AN166" s="133"/>
      <c r="AQ166" s="54"/>
      <c r="AR166" s="54">
        <v>166</v>
      </c>
      <c r="DE166" s="54"/>
    </row>
    <row r="167" spans="1:109" ht="30.75" customHeight="1" hidden="1">
      <c r="A167" s="166" t="s">
        <v>48</v>
      </c>
      <c r="B167" s="166"/>
      <c r="C167" s="166"/>
      <c r="D167" s="166"/>
      <c r="E167" s="167"/>
      <c r="F167" s="64" t="s">
        <v>95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20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/>
      <c r="AF167" s="33">
        <f>VLOOKUP(ужин7,таб,63,FALSE)</f>
        <v>0</v>
      </c>
      <c r="AG167" s="87">
        <f>VLOOKUP(ужин8,таб,63,FALSE)</f>
        <v>0</v>
      </c>
      <c r="AH167" s="144"/>
      <c r="AI167" s="142">
        <f>AK167/сред</f>
        <v>0</v>
      </c>
      <c r="AJ167" s="143"/>
      <c r="AK167" s="146">
        <f>SUM(G168:AG168)</f>
        <v>0</v>
      </c>
      <c r="AL167" s="146"/>
      <c r="AM167" s="134">
        <f>IF(AK167=0,0,Таблиця!BL267)</f>
        <v>0</v>
      </c>
      <c r="AN167" s="132">
        <f>AK167*AM167</f>
        <v>0</v>
      </c>
      <c r="AQ167" s="54"/>
      <c r="AR167" s="54">
        <v>167</v>
      </c>
      <c r="DE167" s="54"/>
    </row>
    <row r="168" spans="1:109" ht="30.75" customHeight="1" hidden="1">
      <c r="A168" s="166"/>
      <c r="B168" s="166"/>
      <c r="C168" s="166"/>
      <c r="D168" s="166"/>
      <c r="E168" s="167"/>
      <c r="F168" s="59" t="s">
        <v>96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>
        <f t="shared" si="212"/>
      </c>
      <c r="L168" s="123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/>
      <c r="AF168" s="49">
        <f t="shared" si="214"/>
      </c>
      <c r="AG168" s="84">
        <f t="shared" si="214"/>
      </c>
      <c r="AH168" s="145"/>
      <c r="AI168" s="142"/>
      <c r="AJ168" s="143"/>
      <c r="AK168" s="146"/>
      <c r="AL168" s="146"/>
      <c r="AM168" s="135"/>
      <c r="AN168" s="133"/>
      <c r="AQ168" s="54"/>
      <c r="AR168" s="54">
        <v>168</v>
      </c>
      <c r="DE168" s="54"/>
    </row>
    <row r="169" spans="1:109" ht="30.75" customHeight="1" hidden="1">
      <c r="A169" s="166" t="s">
        <v>49</v>
      </c>
      <c r="B169" s="166"/>
      <c r="C169" s="166"/>
      <c r="D169" s="166"/>
      <c r="E169" s="167"/>
      <c r="F169" s="64" t="s">
        <v>95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20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/>
      <c r="AF169" s="33">
        <f>VLOOKUP(ужин7,таб,64,FALSE)</f>
        <v>0</v>
      </c>
      <c r="AG169" s="87">
        <f>VLOOKUP(ужин8,таб,64,FALSE)</f>
        <v>0</v>
      </c>
      <c r="AH169" s="144"/>
      <c r="AI169" s="142">
        <f>AK169/сред</f>
        <v>0</v>
      </c>
      <c r="AJ169" s="143"/>
      <c r="AK169" s="146">
        <f>SUM(G170:AG170)</f>
        <v>0</v>
      </c>
      <c r="AL169" s="146"/>
      <c r="AM169" s="134">
        <f>IF(AK169=0,0,Таблиця!BM267)</f>
        <v>0</v>
      </c>
      <c r="AN169" s="132">
        <f>AK169*AM169</f>
        <v>0</v>
      </c>
      <c r="AQ169" s="54"/>
      <c r="AR169" s="54">
        <v>169</v>
      </c>
      <c r="DE169" s="54"/>
    </row>
    <row r="170" spans="1:109" ht="30.75" customHeight="1" hidden="1">
      <c r="A170" s="166"/>
      <c r="B170" s="166"/>
      <c r="C170" s="166"/>
      <c r="D170" s="166"/>
      <c r="E170" s="167"/>
      <c r="F170" s="59" t="s">
        <v>96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>
        <f t="shared" si="215"/>
      </c>
      <c r="L170" s="117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/>
      <c r="AF170" s="44">
        <f t="shared" si="217"/>
      </c>
      <c r="AG170" s="82">
        <f t="shared" si="217"/>
      </c>
      <c r="AH170" s="145"/>
      <c r="AI170" s="142"/>
      <c r="AJ170" s="143"/>
      <c r="AK170" s="146"/>
      <c r="AL170" s="146"/>
      <c r="AM170" s="135"/>
      <c r="AN170" s="133"/>
      <c r="AQ170" s="54"/>
      <c r="AR170" s="54">
        <v>170</v>
      </c>
      <c r="DE170" s="54"/>
    </row>
    <row r="171" spans="1:109" ht="30.75" customHeight="1" hidden="1">
      <c r="A171" s="166" t="s">
        <v>50</v>
      </c>
      <c r="B171" s="166"/>
      <c r="C171" s="166"/>
      <c r="D171" s="166"/>
      <c r="E171" s="167"/>
      <c r="F171" s="64" t="s">
        <v>95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21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/>
      <c r="AF171" s="36">
        <f>VLOOKUP(ужин7,таб,65,FALSE)</f>
        <v>0</v>
      </c>
      <c r="AG171" s="88">
        <f>VLOOKUP(ужин8,таб,65,FALSE)</f>
        <v>0</v>
      </c>
      <c r="AH171" s="144"/>
      <c r="AI171" s="142">
        <f>AK171/сред</f>
        <v>0</v>
      </c>
      <c r="AJ171" s="143"/>
      <c r="AK171" s="146">
        <f>SUM(G172:AG172)</f>
        <v>0</v>
      </c>
      <c r="AL171" s="146"/>
      <c r="AM171" s="134">
        <f>IF(AK171=0,0,Таблиця!BN267)</f>
        <v>0</v>
      </c>
      <c r="AN171" s="132">
        <f>AK171*AM171</f>
        <v>0</v>
      </c>
      <c r="AQ171" s="54"/>
      <c r="AR171" s="54">
        <v>171</v>
      </c>
      <c r="DE171" s="54"/>
    </row>
    <row r="172" spans="1:109" ht="30.75" customHeight="1" hidden="1">
      <c r="A172" s="166"/>
      <c r="B172" s="166"/>
      <c r="C172" s="166"/>
      <c r="D172" s="166"/>
      <c r="E172" s="167"/>
      <c r="F172" s="59" t="s">
        <v>96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>
        <f t="shared" si="218"/>
      </c>
      <c r="L172" s="118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/>
      <c r="AF172" s="43">
        <f t="shared" si="220"/>
      </c>
      <c r="AG172" s="85">
        <f t="shared" si="220"/>
      </c>
      <c r="AH172" s="145"/>
      <c r="AI172" s="142"/>
      <c r="AJ172" s="143"/>
      <c r="AK172" s="146"/>
      <c r="AL172" s="146"/>
      <c r="AM172" s="135"/>
      <c r="AN172" s="133"/>
      <c r="AQ172" s="54"/>
      <c r="AR172" s="54">
        <v>172</v>
      </c>
      <c r="DE172" s="54"/>
    </row>
    <row r="173" spans="1:109" ht="30.75" customHeight="1" hidden="1">
      <c r="A173" s="166" t="s">
        <v>442</v>
      </c>
      <c r="B173" s="166"/>
      <c r="C173" s="166"/>
      <c r="D173" s="166"/>
      <c r="E173" s="167"/>
      <c r="F173" s="64" t="s">
        <v>95</v>
      </c>
      <c r="G173" s="71">
        <f>VLOOKUP(завтрак1,таб,70,FALSE)</f>
        <v>0</v>
      </c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20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/>
      <c r="AF173" s="33">
        <f>VLOOKUP(ужин7,таб,70,FALSE)</f>
        <v>0</v>
      </c>
      <c r="AG173" s="87">
        <f>VLOOKUP(ужин8,таб,70,FALSE)</f>
        <v>0</v>
      </c>
      <c r="AH173" s="144"/>
      <c r="AI173" s="142">
        <f>AK173/сред</f>
        <v>0</v>
      </c>
      <c r="AJ173" s="143"/>
      <c r="AK173" s="146">
        <f>SUM(G174:AG174)</f>
        <v>0</v>
      </c>
      <c r="AL173" s="146"/>
      <c r="AM173" s="134">
        <f>IF(AK173=0,0,Таблиця!BS267)</f>
        <v>0</v>
      </c>
      <c r="AN173" s="132">
        <f>AK173*AM173</f>
        <v>0</v>
      </c>
      <c r="AQ173" s="54"/>
      <c r="AR173" s="54">
        <v>173</v>
      </c>
      <c r="DE173" s="54"/>
    </row>
    <row r="174" spans="1:109" ht="30.75" customHeight="1" hidden="1">
      <c r="A174" s="166"/>
      <c r="B174" s="166"/>
      <c r="C174" s="166"/>
      <c r="D174" s="166"/>
      <c r="E174" s="167"/>
      <c r="F174" s="59" t="s">
        <v>96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>
        <f t="shared" si="221"/>
      </c>
      <c r="L174" s="117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/>
      <c r="AF174" s="44">
        <f t="shared" si="223"/>
      </c>
      <c r="AG174" s="82">
        <f t="shared" si="223"/>
      </c>
      <c r="AH174" s="145"/>
      <c r="AI174" s="142"/>
      <c r="AJ174" s="143"/>
      <c r="AK174" s="146"/>
      <c r="AL174" s="146"/>
      <c r="AM174" s="135"/>
      <c r="AN174" s="133"/>
      <c r="AQ174" s="54"/>
      <c r="AR174" s="54">
        <v>174</v>
      </c>
      <c r="DE174" s="54"/>
    </row>
    <row r="175" spans="1:109" ht="30.75" customHeight="1" hidden="1">
      <c r="A175" s="155" t="s">
        <v>66</v>
      </c>
      <c r="B175" s="155"/>
      <c r="C175" s="155"/>
      <c r="D175" s="155"/>
      <c r="E175" s="156"/>
      <c r="F175" s="64" t="s">
        <v>95</v>
      </c>
      <c r="G175" s="73">
        <f>VLOOKUP(завтрак1,таб,71,FALSE)</f>
        <v>0</v>
      </c>
      <c r="H175" s="35">
        <f>VLOOKUP(завтрак2,таб,71,FALSE)</f>
        <v>0</v>
      </c>
      <c r="I175" s="36">
        <f>VLOOKUP(завтрак3,таб,71,FALSE)</f>
        <v>0</v>
      </c>
      <c r="J175" s="35">
        <f>VLOOKUP(завтрак4,таб,71,FALSE)</f>
        <v>0</v>
      </c>
      <c r="K175" s="36">
        <f>VLOOKUP(завтрак5,таб,71,FALSE)</f>
        <v>0</v>
      </c>
      <c r="L175" s="121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/>
      <c r="AF175" s="36">
        <f>VLOOKUP(ужин7,таб,71,FALSE)</f>
        <v>0</v>
      </c>
      <c r="AG175" s="88">
        <f>VLOOKUP(ужин8,таб,71,FALSE)</f>
        <v>0</v>
      </c>
      <c r="AH175" s="144"/>
      <c r="AI175" s="142">
        <f>AK175/сред</f>
        <v>0</v>
      </c>
      <c r="AJ175" s="143"/>
      <c r="AK175" s="146">
        <f>SUM(G176:AG176)</f>
        <v>0</v>
      </c>
      <c r="AL175" s="146"/>
      <c r="AM175" s="134">
        <f>IF(AK175=0,0,Таблиця!BT267)</f>
        <v>0</v>
      </c>
      <c r="AN175" s="132">
        <f>AK175*AM175</f>
        <v>0</v>
      </c>
      <c r="AQ175" s="54"/>
      <c r="AR175" s="54">
        <v>175</v>
      </c>
      <c r="DE175" s="54"/>
    </row>
    <row r="176" spans="1:109" ht="30.75" customHeight="1" hidden="1">
      <c r="A176" s="226"/>
      <c r="B176" s="226"/>
      <c r="C176" s="226"/>
      <c r="D176" s="226"/>
      <c r="E176" s="227"/>
      <c r="F176" s="59" t="s">
        <v>96</v>
      </c>
      <c r="G176" s="72">
        <f aca="true" t="shared" si="224" ref="G176:N176">IF(G175=0,"",завтракл*G175/1000)</f>
      </c>
      <c r="H176" s="45">
        <f t="shared" si="224"/>
      </c>
      <c r="I176" s="44">
        <f t="shared" si="224"/>
      </c>
      <c r="J176" s="45">
        <f t="shared" si="224"/>
      </c>
      <c r="K176" s="44">
        <f t="shared" si="224"/>
      </c>
      <c r="L176" s="117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/>
      <c r="AF176" s="44">
        <f t="shared" si="226"/>
      </c>
      <c r="AG176" s="82">
        <f t="shared" si="226"/>
      </c>
      <c r="AH176" s="145"/>
      <c r="AI176" s="142"/>
      <c r="AJ176" s="143"/>
      <c r="AK176" s="146"/>
      <c r="AL176" s="146"/>
      <c r="AM176" s="135"/>
      <c r="AN176" s="133"/>
      <c r="AQ176" s="54"/>
      <c r="AR176" s="54">
        <v>176</v>
      </c>
      <c r="DE176" s="54"/>
    </row>
    <row r="177" spans="1:109" ht="30.75" customHeight="1" hidden="1">
      <c r="A177" s="155" t="s">
        <v>125</v>
      </c>
      <c r="B177" s="155"/>
      <c r="C177" s="155"/>
      <c r="D177" s="155"/>
      <c r="E177" s="156"/>
      <c r="F177" s="64" t="s">
        <v>95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20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/>
      <c r="AF177" s="33">
        <f>VLOOKUP(ужин7,таб,66,FALSE)</f>
        <v>0</v>
      </c>
      <c r="AG177" s="87">
        <f>VLOOKUP(ужин8,таб,66,FALSE)</f>
        <v>0</v>
      </c>
      <c r="AH177" s="144"/>
      <c r="AI177" s="142">
        <f>AK177/сред</f>
        <v>0</v>
      </c>
      <c r="AJ177" s="143"/>
      <c r="AK177" s="146">
        <f>SUM(G178:AG178)</f>
        <v>0</v>
      </c>
      <c r="AL177" s="146"/>
      <c r="AM177" s="134">
        <f>IF(AK177=0,0,Таблиця!BT269)</f>
        <v>0</v>
      </c>
      <c r="AN177" s="132">
        <f>AK177*AM177</f>
        <v>0</v>
      </c>
      <c r="AQ177" s="54"/>
      <c r="AR177" s="54">
        <v>177</v>
      </c>
      <c r="DE177" s="54"/>
    </row>
    <row r="178" spans="1:109" ht="30.75" customHeight="1" hidden="1">
      <c r="A178" s="155"/>
      <c r="B178" s="155"/>
      <c r="C178" s="155"/>
      <c r="D178" s="155"/>
      <c r="E178" s="156"/>
      <c r="F178" s="59" t="s">
        <v>96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>
        <f t="shared" si="227"/>
      </c>
      <c r="L178" s="117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/>
      <c r="AF178" s="44">
        <f t="shared" si="229"/>
      </c>
      <c r="AG178" s="82">
        <f t="shared" si="229"/>
      </c>
      <c r="AH178" s="145"/>
      <c r="AI178" s="142"/>
      <c r="AJ178" s="143"/>
      <c r="AK178" s="146"/>
      <c r="AL178" s="146"/>
      <c r="AM178" s="135"/>
      <c r="AN178" s="133"/>
      <c r="AQ178" s="54"/>
      <c r="AR178" s="54">
        <v>178</v>
      </c>
      <c r="DE178" s="54"/>
    </row>
    <row r="179" spans="1:109" ht="30.75" customHeight="1" hidden="1">
      <c r="A179" s="136" t="s">
        <v>114</v>
      </c>
      <c r="B179" s="137"/>
      <c r="C179" s="137"/>
      <c r="D179" s="137"/>
      <c r="E179" s="138"/>
      <c r="F179" s="66" t="s">
        <v>95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6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/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/>
      <c r="AF179" s="33">
        <f>VLOOKUP(ужин7,таб,79,FALSE)</f>
        <v>0</v>
      </c>
      <c r="AG179" s="87">
        <f>VLOOKUP(ужин8,таб,79,FALSE)</f>
        <v>0</v>
      </c>
      <c r="AH179" s="144"/>
      <c r="AI179" s="142">
        <f>AK179/сред</f>
        <v>0</v>
      </c>
      <c r="AJ179" s="143"/>
      <c r="AK179" s="146">
        <f>SUM(G180:AG180)</f>
        <v>0</v>
      </c>
      <c r="AL179" s="146"/>
      <c r="AM179" s="134">
        <f>IF(AK179=0,0,Таблиця!BT271)</f>
        <v>0</v>
      </c>
      <c r="AN179" s="132">
        <f>AK179*AM179</f>
        <v>0</v>
      </c>
      <c r="AQ179" s="54"/>
      <c r="AR179" s="54">
        <v>179</v>
      </c>
      <c r="DE179" s="54"/>
    </row>
    <row r="180" spans="1:109" ht="30.75" customHeight="1" hidden="1">
      <c r="A180" s="139"/>
      <c r="B180" s="140"/>
      <c r="C180" s="140"/>
      <c r="D180" s="140"/>
      <c r="E180" s="141"/>
      <c r="F180" s="67" t="s">
        <v>96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>
        <f t="shared" si="230"/>
      </c>
      <c r="L180" s="118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/>
      <c r="AF180" s="44">
        <f t="shared" si="232"/>
      </c>
      <c r="AG180" s="82">
        <f t="shared" si="232"/>
      </c>
      <c r="AH180" s="145"/>
      <c r="AI180" s="142"/>
      <c r="AJ180" s="143"/>
      <c r="AK180" s="146"/>
      <c r="AL180" s="146"/>
      <c r="AM180" s="135"/>
      <c r="AN180" s="133"/>
      <c r="AQ180" s="54"/>
      <c r="AR180" s="54">
        <v>180</v>
      </c>
      <c r="DE180" s="97"/>
    </row>
    <row r="181" spans="1:109" ht="30.75" customHeight="1" hidden="1">
      <c r="A181" s="136" t="s">
        <v>427</v>
      </c>
      <c r="B181" s="137"/>
      <c r="C181" s="137"/>
      <c r="D181" s="137"/>
      <c r="E181" s="138"/>
      <c r="F181" s="104" t="s">
        <v>95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6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/>
      <c r="AF181" s="33">
        <f>VLOOKUP(ужин7,таб,5,FALSE)</f>
        <v>0</v>
      </c>
      <c r="AG181" s="87">
        <f>VLOOKUP(ужин8,таб,5,FALSE)</f>
        <v>0</v>
      </c>
      <c r="AH181" s="250"/>
      <c r="AI181" s="142">
        <f>AK181/сред</f>
        <v>0</v>
      </c>
      <c r="AJ181" s="143"/>
      <c r="AK181" s="146">
        <f>SUM(G182:AG182)</f>
        <v>0</v>
      </c>
      <c r="AL181" s="146"/>
      <c r="AM181" s="252">
        <f>IF(AK181=0,0,Таблиця!F267)</f>
        <v>0</v>
      </c>
      <c r="AN181" s="132">
        <f>AK181*AM181</f>
        <v>0</v>
      </c>
      <c r="AP181" s="107" t="s">
        <v>500</v>
      </c>
      <c r="AQ181" s="54"/>
      <c r="AR181" s="54">
        <v>181</v>
      </c>
      <c r="DE181" s="54"/>
    </row>
    <row r="182" spans="1:109" ht="30.75" customHeight="1" hidden="1">
      <c r="A182" s="139"/>
      <c r="B182" s="140"/>
      <c r="C182" s="140"/>
      <c r="D182" s="140"/>
      <c r="E182" s="141"/>
      <c r="F182" s="67" t="s">
        <v>96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>
        <f t="shared" si="233"/>
      </c>
      <c r="L182" s="122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/>
      <c r="AF182" s="23">
        <f t="shared" si="233"/>
      </c>
      <c r="AG182" s="83">
        <f t="shared" si="233"/>
      </c>
      <c r="AH182" s="251"/>
      <c r="AI182" s="142"/>
      <c r="AJ182" s="143"/>
      <c r="AK182" s="146"/>
      <c r="AL182" s="146"/>
      <c r="AM182" s="253"/>
      <c r="AN182" s="133"/>
      <c r="AO182" s="16"/>
      <c r="AP182" s="99"/>
      <c r="AQ182" s="100"/>
      <c r="AR182" s="54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6" t="s">
        <v>428</v>
      </c>
      <c r="B183" s="137"/>
      <c r="C183" s="137"/>
      <c r="D183" s="137"/>
      <c r="E183" s="138"/>
      <c r="F183" s="104" t="s">
        <v>95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6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/>
      <c r="AF183" s="33">
        <f>VLOOKUP(ужин7,таб,6,FALSE)</f>
        <v>0</v>
      </c>
      <c r="AG183" s="87">
        <f>VLOOKUP(ужин8,таб,6,FALSE)</f>
        <v>0</v>
      </c>
      <c r="AH183" s="250"/>
      <c r="AI183" s="142">
        <f>AK183/сред</f>
        <v>0</v>
      </c>
      <c r="AJ183" s="143"/>
      <c r="AK183" s="146">
        <f>SUM(G184:AG184)</f>
        <v>0</v>
      </c>
      <c r="AL183" s="146"/>
      <c r="AM183" s="252">
        <f>IF(AK183=0,0,Таблиця!G267)</f>
        <v>0</v>
      </c>
      <c r="AN183" s="132">
        <f>AK183*AM183</f>
        <v>0</v>
      </c>
      <c r="AO183" s="16"/>
      <c r="AP183" s="16"/>
      <c r="AQ183" s="100"/>
      <c r="AR183" s="54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39"/>
      <c r="B184" s="140"/>
      <c r="C184" s="140"/>
      <c r="D184" s="140"/>
      <c r="E184" s="141"/>
      <c r="F184" s="105" t="s">
        <v>96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>
        <f t="shared" si="234"/>
      </c>
      <c r="L184" s="122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/>
      <c r="AF184" s="23">
        <f t="shared" si="234"/>
      </c>
      <c r="AG184" s="83">
        <f t="shared" si="234"/>
      </c>
      <c r="AH184" s="251"/>
      <c r="AI184" s="142"/>
      <c r="AJ184" s="143"/>
      <c r="AK184" s="146"/>
      <c r="AL184" s="146"/>
      <c r="AM184" s="253"/>
      <c r="AN184" s="133"/>
      <c r="AO184" s="16"/>
      <c r="AP184" s="16"/>
      <c r="AQ184" s="100"/>
      <c r="AR184" s="5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6" t="s">
        <v>429</v>
      </c>
      <c r="B185" s="137"/>
      <c r="C185" s="137"/>
      <c r="D185" s="137"/>
      <c r="E185" s="138"/>
      <c r="F185" s="104" t="s">
        <v>95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6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/>
      <c r="AF185" s="33">
        <f>VLOOKUP(ужин7,таб,7,FALSE)</f>
        <v>0</v>
      </c>
      <c r="AG185" s="87">
        <f>VLOOKUP(ужин8,таб,7,FALSE)</f>
        <v>0</v>
      </c>
      <c r="AH185" s="250"/>
      <c r="AI185" s="142">
        <f>AK185/сред</f>
        <v>0</v>
      </c>
      <c r="AJ185" s="143"/>
      <c r="AK185" s="146">
        <f>SUM(G186:AG186)</f>
        <v>0</v>
      </c>
      <c r="AL185" s="146"/>
      <c r="AM185" s="252">
        <f>IF(AK185=0,0,Таблиця!H267)</f>
        <v>0</v>
      </c>
      <c r="AN185" s="132">
        <f>AK185*AM185</f>
        <v>0</v>
      </c>
      <c r="AO185" s="16"/>
      <c r="AP185" s="16"/>
      <c r="AQ185" s="100"/>
      <c r="AR185" s="54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39"/>
      <c r="B186" s="140"/>
      <c r="C186" s="140"/>
      <c r="D186" s="140"/>
      <c r="E186" s="141"/>
      <c r="F186" s="105" t="s">
        <v>96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>
        <f t="shared" si="235"/>
      </c>
      <c r="L186" s="122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/>
      <c r="AF186" s="23">
        <f t="shared" si="235"/>
      </c>
      <c r="AG186" s="83">
        <f t="shared" si="235"/>
      </c>
      <c r="AH186" s="251"/>
      <c r="AI186" s="142"/>
      <c r="AJ186" s="143"/>
      <c r="AK186" s="146"/>
      <c r="AL186" s="146"/>
      <c r="AM186" s="253"/>
      <c r="AN186" s="133"/>
      <c r="AO186" s="16"/>
      <c r="AP186" s="16"/>
      <c r="AQ186" s="100"/>
      <c r="AR186" s="54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6" t="s">
        <v>430</v>
      </c>
      <c r="B187" s="137"/>
      <c r="C187" s="137"/>
      <c r="D187" s="137"/>
      <c r="E187" s="138"/>
      <c r="F187" s="104" t="s">
        <v>95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6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/>
      <c r="AF187" s="33">
        <f>VLOOKUP(ужин7,таб,9,FALSE)</f>
        <v>0</v>
      </c>
      <c r="AG187" s="87">
        <f>VLOOKUP(ужин8,таб,9,FALSE)</f>
        <v>0</v>
      </c>
      <c r="AH187" s="250"/>
      <c r="AI187" s="142">
        <f>AK187/сред</f>
        <v>0</v>
      </c>
      <c r="AJ187" s="143"/>
      <c r="AK187" s="146">
        <f>SUM(G188:AG188)</f>
        <v>0</v>
      </c>
      <c r="AL187" s="146"/>
      <c r="AM187" s="252">
        <f>IF(AK187=0,0,Таблиця!J267)</f>
        <v>0</v>
      </c>
      <c r="AN187" s="132">
        <f>AK187*AM187</f>
        <v>0</v>
      </c>
      <c r="AO187" s="16"/>
      <c r="AP187" s="16"/>
      <c r="AQ187" s="100"/>
      <c r="AR187" s="54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39"/>
      <c r="B188" s="140"/>
      <c r="C188" s="140"/>
      <c r="D188" s="140"/>
      <c r="E188" s="141"/>
      <c r="F188" s="105" t="s">
        <v>96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>
        <f t="shared" si="236"/>
      </c>
      <c r="L188" s="122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/>
      <c r="AF188" s="23">
        <f t="shared" si="236"/>
      </c>
      <c r="AG188" s="83">
        <f t="shared" si="236"/>
      </c>
      <c r="AH188" s="251"/>
      <c r="AI188" s="142"/>
      <c r="AJ188" s="143"/>
      <c r="AK188" s="146"/>
      <c r="AL188" s="146"/>
      <c r="AM188" s="253"/>
      <c r="AN188" s="133"/>
      <c r="AO188" s="16"/>
      <c r="AP188" s="16"/>
      <c r="AQ188" s="100"/>
      <c r="AR188" s="54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6" t="s">
        <v>431</v>
      </c>
      <c r="B189" s="137"/>
      <c r="C189" s="137"/>
      <c r="D189" s="137"/>
      <c r="E189" s="138"/>
      <c r="F189" s="104" t="s">
        <v>95</v>
      </c>
      <c r="G189" s="71">
        <f>VLOOKUP(завтрак1,таб,11,FALSE)</f>
        <v>0</v>
      </c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6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/>
      <c r="AF189" s="33">
        <f>VLOOKUP(ужин7,таб,11,FALSE)</f>
        <v>0</v>
      </c>
      <c r="AG189" s="87">
        <f>VLOOKUP(ужин8,таб,11,FALSE)</f>
        <v>0</v>
      </c>
      <c r="AH189" s="250"/>
      <c r="AI189" s="142">
        <f>AK189/сред</f>
        <v>0</v>
      </c>
      <c r="AJ189" s="143"/>
      <c r="AK189" s="146">
        <f>SUM(G190:AG190)</f>
        <v>0</v>
      </c>
      <c r="AL189" s="146"/>
      <c r="AM189" s="252">
        <f>IF(AK189=0,0,Таблиця!L267)</f>
        <v>0</v>
      </c>
      <c r="AN189" s="132">
        <f>AK189*AM189</f>
        <v>0</v>
      </c>
      <c r="AO189" s="16"/>
      <c r="AP189" s="16"/>
      <c r="AQ189" s="100"/>
      <c r="AR189" s="54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9"/>
      <c r="B190" s="140"/>
      <c r="C190" s="140"/>
      <c r="D190" s="140"/>
      <c r="E190" s="141"/>
      <c r="F190" s="105" t="s">
        <v>96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>
        <f t="shared" si="237"/>
      </c>
      <c r="L190" s="122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/>
      <c r="AF190" s="23">
        <f t="shared" si="237"/>
      </c>
      <c r="AG190" s="83">
        <f t="shared" si="237"/>
      </c>
      <c r="AH190" s="251"/>
      <c r="AI190" s="142"/>
      <c r="AJ190" s="143"/>
      <c r="AK190" s="146"/>
      <c r="AL190" s="146"/>
      <c r="AM190" s="253"/>
      <c r="AN190" s="133"/>
      <c r="AO190" s="16"/>
      <c r="AP190" s="16"/>
      <c r="AQ190" s="100"/>
      <c r="AR190" s="54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6" t="s">
        <v>432</v>
      </c>
      <c r="B191" s="137"/>
      <c r="C191" s="137"/>
      <c r="D191" s="137"/>
      <c r="E191" s="138"/>
      <c r="F191" s="104" t="s">
        <v>95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6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/>
      <c r="AF191" s="33">
        <f>VLOOKUP(ужин7,таб,57,FALSE)</f>
        <v>0</v>
      </c>
      <c r="AG191" s="87">
        <f>VLOOKUP(ужин8,таб,57,FALSE)</f>
        <v>0</v>
      </c>
      <c r="AH191" s="250"/>
      <c r="AI191" s="142">
        <f>AK191/сред</f>
        <v>0</v>
      </c>
      <c r="AJ191" s="143"/>
      <c r="AK191" s="146">
        <f>SUM(G192:AG192)</f>
        <v>0</v>
      </c>
      <c r="AL191" s="146"/>
      <c r="AM191" s="252">
        <f>IF(AK191=0,0,Таблиця!M267)</f>
        <v>0</v>
      </c>
      <c r="AN191" s="132">
        <f>AK191*AM191</f>
        <v>0</v>
      </c>
      <c r="AO191" s="16"/>
      <c r="AP191" s="16"/>
      <c r="AQ191" s="100"/>
      <c r="AR191" s="54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9"/>
      <c r="B192" s="140"/>
      <c r="C192" s="140"/>
      <c r="D192" s="140"/>
      <c r="E192" s="141"/>
      <c r="F192" s="105" t="s">
        <v>96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>
        <f t="shared" si="238"/>
      </c>
      <c r="L192" s="122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/>
      <c r="AF192" s="23">
        <f t="shared" si="238"/>
      </c>
      <c r="AG192" s="83">
        <f t="shared" si="238"/>
      </c>
      <c r="AH192" s="251"/>
      <c r="AI192" s="142"/>
      <c r="AJ192" s="143"/>
      <c r="AK192" s="146"/>
      <c r="AL192" s="146"/>
      <c r="AM192" s="253"/>
      <c r="AN192" s="133"/>
      <c r="AO192" s="16"/>
      <c r="AP192" s="16"/>
      <c r="AQ192" s="100"/>
      <c r="AR192" s="54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6" t="s">
        <v>433</v>
      </c>
      <c r="B193" s="137"/>
      <c r="C193" s="137"/>
      <c r="D193" s="137"/>
      <c r="E193" s="138"/>
      <c r="F193" s="104" t="s">
        <v>95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6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/>
      <c r="AF193" s="33">
        <f>VLOOKUP(ужин7,таб,15,FALSE)</f>
        <v>0</v>
      </c>
      <c r="AG193" s="87">
        <f>VLOOKUP(ужин8,таб,15,FALSE)</f>
        <v>0</v>
      </c>
      <c r="AH193" s="250"/>
      <c r="AI193" s="142">
        <f>AK193/сред</f>
        <v>0</v>
      </c>
      <c r="AJ193" s="143"/>
      <c r="AK193" s="146">
        <f>SUM(G194:AG194)</f>
        <v>0</v>
      </c>
      <c r="AL193" s="146"/>
      <c r="AM193" s="252">
        <f>IF(AK193=0,0,Таблиця!P267)</f>
        <v>0</v>
      </c>
      <c r="AN193" s="132">
        <f>AK193*AM193</f>
        <v>0</v>
      </c>
      <c r="AO193" s="16"/>
      <c r="AP193" s="16"/>
      <c r="AQ193" s="100"/>
      <c r="AR193" s="54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9"/>
      <c r="B194" s="140"/>
      <c r="C194" s="140"/>
      <c r="D194" s="140"/>
      <c r="E194" s="141"/>
      <c r="F194" s="105" t="s">
        <v>96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>
        <f t="shared" si="239"/>
      </c>
      <c r="L194" s="122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/>
      <c r="AF194" s="23">
        <f t="shared" si="239"/>
      </c>
      <c r="AG194" s="83">
        <f t="shared" si="239"/>
      </c>
      <c r="AH194" s="251"/>
      <c r="AI194" s="142"/>
      <c r="AJ194" s="143"/>
      <c r="AK194" s="146"/>
      <c r="AL194" s="146"/>
      <c r="AM194" s="253"/>
      <c r="AN194" s="133"/>
      <c r="AO194" s="16"/>
      <c r="AP194" s="16"/>
      <c r="AQ194" s="100"/>
      <c r="AR194" s="5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6" t="s">
        <v>435</v>
      </c>
      <c r="B195" s="137"/>
      <c r="C195" s="137"/>
      <c r="D195" s="137"/>
      <c r="E195" s="138"/>
      <c r="F195" s="104" t="s">
        <v>95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6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/>
      <c r="Q195" s="33">
        <f>VLOOKUP(обед3,таб,32,FALSE)</f>
        <v>0</v>
      </c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/>
      <c r="AC195" s="33">
        <f>VLOOKUP(ужин4,таб,32,FALSE)</f>
        <v>0</v>
      </c>
      <c r="AD195" s="33">
        <f>VLOOKUP(ужин5,таб,32,FALSE)</f>
        <v>0</v>
      </c>
      <c r="AE195" s="33"/>
      <c r="AF195" s="33">
        <f>VLOOKUP(ужин7,таб,32,FALSE)</f>
        <v>0</v>
      </c>
      <c r="AG195" s="87">
        <f>VLOOKUP(ужин8,таб,32,FALSE)</f>
        <v>0</v>
      </c>
      <c r="AH195" s="250"/>
      <c r="AI195" s="142">
        <f>AK195/сред</f>
        <v>0</v>
      </c>
      <c r="AJ195" s="143"/>
      <c r="AK195" s="146">
        <f>SUM(G196:AG196)</f>
        <v>0</v>
      </c>
      <c r="AL195" s="146"/>
      <c r="AM195" s="252">
        <f>IF(AK195=0,0,Таблиця!AG267)</f>
        <v>0</v>
      </c>
      <c r="AN195" s="132">
        <f>AK195*AM195</f>
        <v>0</v>
      </c>
      <c r="AO195" s="16"/>
      <c r="AP195" s="16"/>
      <c r="AQ195" s="100"/>
      <c r="AR195" s="54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9"/>
      <c r="B196" s="140"/>
      <c r="C196" s="140"/>
      <c r="D196" s="140"/>
      <c r="E196" s="141"/>
      <c r="F196" s="105" t="s">
        <v>96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>
        <f t="shared" si="240"/>
      </c>
      <c r="L196" s="122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/>
      <c r="AF196" s="23">
        <f t="shared" si="240"/>
      </c>
      <c r="AG196" s="83">
        <f t="shared" si="240"/>
      </c>
      <c r="AH196" s="251"/>
      <c r="AI196" s="142"/>
      <c r="AJ196" s="143"/>
      <c r="AK196" s="146"/>
      <c r="AL196" s="146"/>
      <c r="AM196" s="253"/>
      <c r="AN196" s="133"/>
      <c r="AO196" s="16"/>
      <c r="AP196" s="16"/>
      <c r="AQ196" s="100"/>
      <c r="AR196" s="54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6" t="s">
        <v>436</v>
      </c>
      <c r="B197" s="137"/>
      <c r="C197" s="137"/>
      <c r="D197" s="137"/>
      <c r="E197" s="138"/>
      <c r="F197" s="104" t="s">
        <v>95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6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/>
      <c r="AF197" s="33">
        <f>VLOOKUP(ужин7,таб,34,FALSE)</f>
        <v>0</v>
      </c>
      <c r="AG197" s="87">
        <f>VLOOKUP(ужин8,таб,34,FALSE)</f>
        <v>0</v>
      </c>
      <c r="AH197" s="250"/>
      <c r="AI197" s="142">
        <f>AK197/сред</f>
        <v>0</v>
      </c>
      <c r="AJ197" s="143"/>
      <c r="AK197" s="146">
        <f>SUM(G198:AG198)</f>
        <v>0</v>
      </c>
      <c r="AL197" s="146"/>
      <c r="AM197" s="252">
        <f>IF(AK197=0,0,Таблиця!AI267)</f>
        <v>0</v>
      </c>
      <c r="AN197" s="132">
        <f>AK197*AM197</f>
        <v>0</v>
      </c>
      <c r="AO197" s="16"/>
      <c r="AP197" s="16"/>
      <c r="AQ197" s="100"/>
      <c r="AR197" s="54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9"/>
      <c r="B198" s="140"/>
      <c r="C198" s="140"/>
      <c r="D198" s="140"/>
      <c r="E198" s="141"/>
      <c r="F198" s="105" t="s">
        <v>96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>
        <f t="shared" si="241"/>
      </c>
      <c r="L198" s="122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/>
      <c r="AF198" s="23">
        <f t="shared" si="241"/>
      </c>
      <c r="AG198" s="83">
        <f t="shared" si="241"/>
      </c>
      <c r="AH198" s="251"/>
      <c r="AI198" s="142"/>
      <c r="AJ198" s="143"/>
      <c r="AK198" s="146"/>
      <c r="AL198" s="146"/>
      <c r="AM198" s="253"/>
      <c r="AN198" s="133"/>
      <c r="AO198" s="16"/>
      <c r="AP198" s="16"/>
      <c r="AQ198" s="100"/>
      <c r="AR198" s="54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6" t="s">
        <v>437</v>
      </c>
      <c r="B199" s="137"/>
      <c r="C199" s="137"/>
      <c r="D199" s="137"/>
      <c r="E199" s="138"/>
      <c r="F199" s="104" t="s">
        <v>95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6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/>
      <c r="AF199" s="33">
        <f>VLOOKUP(ужин7,таб,36,FALSE)</f>
        <v>0</v>
      </c>
      <c r="AG199" s="87">
        <f>VLOOKUP(ужин8,таб,36,FALSE)</f>
        <v>0</v>
      </c>
      <c r="AH199" s="250"/>
      <c r="AI199" s="142">
        <f>AK199/сред</f>
        <v>0</v>
      </c>
      <c r="AJ199" s="143"/>
      <c r="AK199" s="146">
        <f>SUM(G200:AG200)</f>
        <v>0</v>
      </c>
      <c r="AL199" s="146"/>
      <c r="AM199" s="252">
        <f>IF(AK199=0,0,Таблиця!AK267)</f>
        <v>0</v>
      </c>
      <c r="AN199" s="132">
        <f>AK199*AM199</f>
        <v>0</v>
      </c>
      <c r="AO199" s="16"/>
      <c r="AP199" s="16"/>
      <c r="AQ199" s="100"/>
      <c r="AR199" s="54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9"/>
      <c r="B200" s="140"/>
      <c r="C200" s="140"/>
      <c r="D200" s="140"/>
      <c r="E200" s="141"/>
      <c r="F200" s="105" t="s">
        <v>96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>
        <f t="shared" si="242"/>
      </c>
      <c r="L200" s="122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/>
      <c r="AF200" s="23">
        <f t="shared" si="242"/>
      </c>
      <c r="AG200" s="83">
        <f t="shared" si="242"/>
      </c>
      <c r="AH200" s="251"/>
      <c r="AI200" s="142"/>
      <c r="AJ200" s="143"/>
      <c r="AK200" s="146"/>
      <c r="AL200" s="146"/>
      <c r="AM200" s="253"/>
      <c r="AN200" s="133"/>
      <c r="AO200" s="16"/>
      <c r="AP200" s="16"/>
      <c r="AQ200" s="100"/>
      <c r="AR200" s="54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6" t="s">
        <v>438</v>
      </c>
      <c r="B201" s="137"/>
      <c r="C201" s="137"/>
      <c r="D201" s="137"/>
      <c r="E201" s="138"/>
      <c r="F201" s="104" t="s">
        <v>95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6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/>
      <c r="AF201" s="33">
        <f>VLOOKUP(ужин7,таб,37,FALSE)</f>
        <v>0</v>
      </c>
      <c r="AG201" s="87">
        <f>VLOOKUP(ужин8,таб,37,FALSE)</f>
        <v>0</v>
      </c>
      <c r="AH201" s="250"/>
      <c r="AI201" s="142">
        <f>AK201/сред</f>
        <v>0</v>
      </c>
      <c r="AJ201" s="143"/>
      <c r="AK201" s="146">
        <f>SUM(G202:AG202)</f>
        <v>0</v>
      </c>
      <c r="AL201" s="146"/>
      <c r="AM201" s="252">
        <f>IF(AK201=0,0,Таблиця!AL267)</f>
        <v>0</v>
      </c>
      <c r="AN201" s="132">
        <f>AK201*AM201</f>
        <v>0</v>
      </c>
      <c r="AO201" s="16"/>
      <c r="AP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9"/>
      <c r="B202" s="140"/>
      <c r="C202" s="140"/>
      <c r="D202" s="140"/>
      <c r="E202" s="141"/>
      <c r="F202" s="105" t="s">
        <v>96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>
        <f t="shared" si="243"/>
      </c>
      <c r="L202" s="122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/>
      <c r="AF202" s="23">
        <f t="shared" si="243"/>
      </c>
      <c r="AG202" s="83">
        <f t="shared" si="243"/>
      </c>
      <c r="AH202" s="251"/>
      <c r="AI202" s="142"/>
      <c r="AJ202" s="143"/>
      <c r="AK202" s="146"/>
      <c r="AL202" s="146"/>
      <c r="AM202" s="253"/>
      <c r="AN202" s="133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6" t="s">
        <v>441</v>
      </c>
      <c r="B203" s="137"/>
      <c r="C203" s="137"/>
      <c r="D203" s="137"/>
      <c r="E203" s="138"/>
      <c r="F203" s="104" t="s">
        <v>95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6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/>
      <c r="AF203" s="33">
        <f>VLOOKUP(ужин7,таб,58,FALSE)</f>
        <v>0</v>
      </c>
      <c r="AG203" s="87">
        <f>VLOOKUP(ужин8,таб,58,FALSE)</f>
        <v>0</v>
      </c>
      <c r="AH203" s="250"/>
      <c r="AI203" s="142">
        <f>AK203/сред</f>
        <v>0</v>
      </c>
      <c r="AJ203" s="143"/>
      <c r="AK203" s="146">
        <f>SUM(G204:AG204)</f>
        <v>0</v>
      </c>
      <c r="AL203" s="146"/>
      <c r="AM203" s="252">
        <f>IF(AK203=0,0,Таблиця!BG267)</f>
        <v>0</v>
      </c>
      <c r="AN203" s="132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9"/>
      <c r="B204" s="140"/>
      <c r="C204" s="140"/>
      <c r="D204" s="140"/>
      <c r="E204" s="141"/>
      <c r="F204" s="105" t="s">
        <v>96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>
        <f t="shared" si="244"/>
      </c>
      <c r="L204" s="122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/>
      <c r="AF204" s="23">
        <f t="shared" si="244"/>
      </c>
      <c r="AG204" s="83">
        <f t="shared" si="244"/>
      </c>
      <c r="AH204" s="251"/>
      <c r="AI204" s="142"/>
      <c r="AJ204" s="143"/>
      <c r="AK204" s="146"/>
      <c r="AL204" s="146"/>
      <c r="AM204" s="253"/>
      <c r="AN204" s="133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6" t="s">
        <v>444</v>
      </c>
      <c r="B205" s="137"/>
      <c r="C205" s="137"/>
      <c r="D205" s="137"/>
      <c r="E205" s="138"/>
      <c r="F205" s="104" t="s">
        <v>95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6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/>
      <c r="AF205" s="33">
        <f>VLOOKUP(ужин7,таб,76,FALSE)</f>
        <v>0</v>
      </c>
      <c r="AG205" s="87">
        <f>VLOOKUP(ужин8,таб,76,FALSE)</f>
        <v>0</v>
      </c>
      <c r="AH205" s="250"/>
      <c r="AI205" s="142">
        <f>AK205/сред</f>
        <v>0</v>
      </c>
      <c r="AJ205" s="143"/>
      <c r="AK205" s="146">
        <f>SUM(G206:AG206)</f>
        <v>0</v>
      </c>
      <c r="AL205" s="146"/>
      <c r="AM205" s="252">
        <f>IF(AK205=0,0,Таблиця!BY267)</f>
        <v>0</v>
      </c>
      <c r="AN205" s="132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9"/>
      <c r="B206" s="140"/>
      <c r="C206" s="140"/>
      <c r="D206" s="140"/>
      <c r="E206" s="141"/>
      <c r="F206" s="105" t="s">
        <v>96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>
        <f t="shared" si="245"/>
      </c>
      <c r="L206" s="122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/>
      <c r="AF206" s="23">
        <f t="shared" si="245"/>
      </c>
      <c r="AG206" s="83">
        <f t="shared" si="245"/>
      </c>
      <c r="AH206" s="251"/>
      <c r="AI206" s="142"/>
      <c r="AJ206" s="143"/>
      <c r="AK206" s="146"/>
      <c r="AL206" s="146"/>
      <c r="AM206" s="253"/>
      <c r="AN206" s="133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6" t="s">
        <v>443</v>
      </c>
      <c r="B207" s="137"/>
      <c r="C207" s="137"/>
      <c r="D207" s="137"/>
      <c r="E207" s="138"/>
      <c r="F207" s="104" t="s">
        <v>95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6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/>
      <c r="AF207" s="33">
        <f>VLOOKUP(ужин7,таб,66,FALSE)</f>
        <v>0</v>
      </c>
      <c r="AG207" s="87">
        <f>VLOOKUP(ужин8,таб,66,FALSE)</f>
        <v>0</v>
      </c>
      <c r="AH207" s="250"/>
      <c r="AI207" s="142">
        <f>AK207/сред</f>
        <v>0</v>
      </c>
      <c r="AJ207" s="143"/>
      <c r="AK207" s="146">
        <f>SUM(G208:AG208)</f>
        <v>0</v>
      </c>
      <c r="AL207" s="146"/>
      <c r="AM207" s="252">
        <f>IF(AK207=0,0,Таблиця!BO267)</f>
        <v>0</v>
      </c>
      <c r="AN207" s="132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9"/>
      <c r="B208" s="140"/>
      <c r="C208" s="140"/>
      <c r="D208" s="140"/>
      <c r="E208" s="141"/>
      <c r="F208" s="105" t="s">
        <v>96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>
        <f t="shared" si="246"/>
      </c>
      <c r="L208" s="122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/>
      <c r="AF208" s="23">
        <f t="shared" si="246"/>
      </c>
      <c r="AG208" s="83">
        <f t="shared" si="246"/>
      </c>
      <c r="AH208" s="251"/>
      <c r="AI208" s="142"/>
      <c r="AJ208" s="143"/>
      <c r="AK208" s="146"/>
      <c r="AL208" s="146"/>
      <c r="AM208" s="253"/>
      <c r="AN208" s="133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6" t="s">
        <v>445</v>
      </c>
      <c r="B209" s="137"/>
      <c r="C209" s="137"/>
      <c r="D209" s="137"/>
      <c r="E209" s="138"/>
      <c r="F209" s="104" t="s">
        <v>95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6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/>
      <c r="AF209" s="33">
        <f>VLOOKUP(ужин7,таб,78,FALSE)</f>
        <v>0</v>
      </c>
      <c r="AG209" s="87">
        <f>VLOOKUP(ужин8,таб,78,FALSE)</f>
        <v>0</v>
      </c>
      <c r="AH209" s="250"/>
      <c r="AI209" s="142">
        <f>AK209/сред</f>
        <v>0</v>
      </c>
      <c r="AJ209" s="143"/>
      <c r="AK209" s="146">
        <f>SUM(G210:AG210)</f>
        <v>0</v>
      </c>
      <c r="AL209" s="146"/>
      <c r="AM209" s="252">
        <f>IF(AK209=0,0,Таблиця!CA267)</f>
        <v>0</v>
      </c>
      <c r="AN209" s="132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9"/>
      <c r="B210" s="140"/>
      <c r="C210" s="140"/>
      <c r="D210" s="140"/>
      <c r="E210" s="141"/>
      <c r="F210" s="105" t="s">
        <v>96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>
        <f t="shared" si="247"/>
      </c>
      <c r="L210" s="122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/>
      <c r="AF210" s="23">
        <f t="shared" si="247"/>
      </c>
      <c r="AG210" s="83">
        <f t="shared" si="247"/>
      </c>
      <c r="AH210" s="251"/>
      <c r="AI210" s="142"/>
      <c r="AJ210" s="143"/>
      <c r="AK210" s="146"/>
      <c r="AL210" s="146"/>
      <c r="AM210" s="253"/>
      <c r="AN210" s="133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6" t="s">
        <v>446</v>
      </c>
      <c r="B211" s="137"/>
      <c r="C211" s="137"/>
      <c r="D211" s="137"/>
      <c r="E211" s="138"/>
      <c r="F211" s="104" t="s">
        <v>95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6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/>
      <c r="AF211" s="33">
        <f>VLOOKUP(ужин7,таб,87,FALSE)</f>
        <v>0</v>
      </c>
      <c r="AG211" s="87">
        <f>VLOOKUP(ужин8,таб,87,FALSE)</f>
        <v>0</v>
      </c>
      <c r="AH211" s="250"/>
      <c r="AI211" s="142">
        <f>AK211/сред</f>
        <v>0</v>
      </c>
      <c r="AJ211" s="143"/>
      <c r="AK211" s="146">
        <f>SUM(G212:AG212)</f>
        <v>0</v>
      </c>
      <c r="AL211" s="146"/>
      <c r="AM211" s="252">
        <f>IF(AK211=0,0,Таблиця!CJ267)</f>
        <v>0</v>
      </c>
      <c r="AN211" s="132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9"/>
      <c r="B212" s="140"/>
      <c r="C212" s="140"/>
      <c r="D212" s="140"/>
      <c r="E212" s="141"/>
      <c r="F212" s="105" t="s">
        <v>96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>
        <f t="shared" si="248"/>
      </c>
      <c r="L212" s="122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/>
      <c r="AF212" s="23">
        <f t="shared" si="248"/>
      </c>
      <c r="AG212" s="83">
        <f t="shared" si="248"/>
      </c>
      <c r="AH212" s="251"/>
      <c r="AI212" s="142"/>
      <c r="AJ212" s="143"/>
      <c r="AK212" s="146"/>
      <c r="AL212" s="146"/>
      <c r="AM212" s="253"/>
      <c r="AN212" s="133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6" t="s">
        <v>447</v>
      </c>
      <c r="B213" s="137"/>
      <c r="C213" s="137"/>
      <c r="D213" s="137"/>
      <c r="E213" s="138"/>
      <c r="F213" s="104" t="s">
        <v>95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6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/>
      <c r="AF213" s="33">
        <f>VLOOKUP(ужин7,таб,88,FALSE)</f>
        <v>0</v>
      </c>
      <c r="AG213" s="87">
        <f>VLOOKUP(ужин8,таб,88,FALSE)</f>
        <v>0</v>
      </c>
      <c r="AH213" s="250"/>
      <c r="AI213" s="142">
        <f>AK213/сред</f>
        <v>0</v>
      </c>
      <c r="AJ213" s="143"/>
      <c r="AK213" s="146">
        <f>SUM(G214:AG214)</f>
        <v>0</v>
      </c>
      <c r="AL213" s="146"/>
      <c r="AM213" s="252">
        <f>IF(AK213=0,0,Таблиця!CK267)</f>
        <v>0</v>
      </c>
      <c r="AN213" s="132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9"/>
      <c r="B214" s="140"/>
      <c r="C214" s="140"/>
      <c r="D214" s="140"/>
      <c r="E214" s="141"/>
      <c r="F214" s="105" t="s">
        <v>96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>
        <f t="shared" si="249"/>
      </c>
      <c r="L214" s="122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/>
      <c r="AF214" s="23">
        <f t="shared" si="249"/>
      </c>
      <c r="AG214" s="83">
        <f t="shared" si="249"/>
      </c>
      <c r="AH214" s="251"/>
      <c r="AI214" s="142"/>
      <c r="AJ214" s="143"/>
      <c r="AK214" s="146"/>
      <c r="AL214" s="146"/>
      <c r="AM214" s="253"/>
      <c r="AN214" s="133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6" t="s">
        <v>448</v>
      </c>
      <c r="B215" s="137"/>
      <c r="C215" s="137"/>
      <c r="D215" s="137"/>
      <c r="E215" s="138"/>
      <c r="F215" s="104" t="s">
        <v>95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6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/>
      <c r="AF215" s="33">
        <f>VLOOKUP(ужин7,таб,90,FALSE)</f>
        <v>0</v>
      </c>
      <c r="AG215" s="87">
        <f>VLOOKUP(ужин8,таб,90,FALSE)</f>
        <v>0</v>
      </c>
      <c r="AH215" s="250"/>
      <c r="AI215" s="142">
        <f>AK215/сред</f>
        <v>0</v>
      </c>
      <c r="AJ215" s="143"/>
      <c r="AK215" s="146">
        <f>SUM(G216:AG216)</f>
        <v>0</v>
      </c>
      <c r="AL215" s="146"/>
      <c r="AM215" s="252">
        <f>IF(AK215=0,0,Таблиця!CM267)</f>
        <v>0</v>
      </c>
      <c r="AN215" s="132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39"/>
      <c r="B216" s="140"/>
      <c r="C216" s="140"/>
      <c r="D216" s="140"/>
      <c r="E216" s="141"/>
      <c r="F216" s="105" t="s">
        <v>96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>
        <f t="shared" si="250"/>
      </c>
      <c r="L216" s="122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/>
      <c r="AF216" s="23">
        <f t="shared" si="250"/>
      </c>
      <c r="AG216" s="83">
        <f t="shared" si="250"/>
      </c>
      <c r="AH216" s="251"/>
      <c r="AI216" s="142"/>
      <c r="AJ216" s="143"/>
      <c r="AK216" s="146"/>
      <c r="AL216" s="146"/>
      <c r="AM216" s="253"/>
      <c r="AN216" s="133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6" t="s">
        <v>449</v>
      </c>
      <c r="B217" s="137"/>
      <c r="C217" s="137"/>
      <c r="D217" s="137"/>
      <c r="E217" s="138"/>
      <c r="F217" s="104" t="s">
        <v>95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6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/>
      <c r="AF217" s="33">
        <f>VLOOKUP(ужин7,таб,91,FALSE)</f>
        <v>0</v>
      </c>
      <c r="AG217" s="87">
        <f>VLOOKUP(ужин8,таб,91,FALSE)</f>
        <v>0</v>
      </c>
      <c r="AH217" s="250"/>
      <c r="AI217" s="142">
        <f>AK217/сред</f>
        <v>0</v>
      </c>
      <c r="AJ217" s="143"/>
      <c r="AK217" s="146">
        <f>SUM(G218:AG218)</f>
        <v>0</v>
      </c>
      <c r="AL217" s="146"/>
      <c r="AM217" s="252">
        <f>IF(AK217=0,0,Таблиця!CN267)</f>
        <v>0</v>
      </c>
      <c r="AN217" s="132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39"/>
      <c r="B218" s="140"/>
      <c r="C218" s="140"/>
      <c r="D218" s="140"/>
      <c r="E218" s="141"/>
      <c r="F218" s="105" t="s">
        <v>96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>
        <f t="shared" si="251"/>
      </c>
      <c r="L218" s="122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/>
      <c r="AF218" s="23">
        <f t="shared" si="251"/>
      </c>
      <c r="AG218" s="83">
        <f t="shared" si="251"/>
      </c>
      <c r="AH218" s="251"/>
      <c r="AI218" s="142"/>
      <c r="AJ218" s="143"/>
      <c r="AK218" s="146"/>
      <c r="AL218" s="146"/>
      <c r="AM218" s="253"/>
      <c r="AN218" s="133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6" t="s">
        <v>450</v>
      </c>
      <c r="B219" s="137"/>
      <c r="C219" s="137"/>
      <c r="D219" s="137"/>
      <c r="E219" s="138"/>
      <c r="F219" s="104" t="s">
        <v>95</v>
      </c>
      <c r="G219" s="71">
        <f>VLOOKUP(завтрак1,таб,92,FALSE)</f>
        <v>0</v>
      </c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6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/>
      <c r="AF219" s="33">
        <f>VLOOKUP(ужин7,таб,92,FALSE)</f>
        <v>0</v>
      </c>
      <c r="AG219" s="87">
        <f>VLOOKUP(ужин8,таб,92,FALSE)</f>
        <v>0</v>
      </c>
      <c r="AH219" s="250"/>
      <c r="AI219" s="142">
        <f>AK219/сред</f>
        <v>0</v>
      </c>
      <c r="AJ219" s="143"/>
      <c r="AK219" s="146">
        <f>SUM(G220:AG220)</f>
        <v>0</v>
      </c>
      <c r="AL219" s="146"/>
      <c r="AM219" s="252">
        <f>IF(AK219=0,0,Таблиця!CO267)</f>
        <v>0</v>
      </c>
      <c r="AN219" s="132">
        <f>AK219*AM219</f>
        <v>0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39"/>
      <c r="B220" s="140"/>
      <c r="C220" s="140"/>
      <c r="D220" s="140"/>
      <c r="E220" s="141"/>
      <c r="F220" s="105" t="s">
        <v>96</v>
      </c>
      <c r="G220" s="75">
        <f aca="true" t="shared" si="252" ref="G220:AG220">IF(G219=0,"",завтракл*G219/1000)</f>
      </c>
      <c r="H220" s="23">
        <f t="shared" si="252"/>
      </c>
      <c r="I220" s="23">
        <f t="shared" si="252"/>
      </c>
      <c r="J220" s="23">
        <f t="shared" si="252"/>
      </c>
      <c r="K220" s="23">
        <f t="shared" si="252"/>
      </c>
      <c r="L220" s="122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/>
      <c r="AF220" s="23">
        <f t="shared" si="252"/>
      </c>
      <c r="AG220" s="83">
        <f t="shared" si="252"/>
      </c>
      <c r="AH220" s="251"/>
      <c r="AI220" s="142"/>
      <c r="AJ220" s="143"/>
      <c r="AK220" s="146"/>
      <c r="AL220" s="146"/>
      <c r="AM220" s="253"/>
      <c r="AN220" s="133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6" t="s">
        <v>451</v>
      </c>
      <c r="B221" s="137"/>
      <c r="C221" s="137"/>
      <c r="D221" s="137"/>
      <c r="E221" s="138"/>
      <c r="F221" s="104" t="s">
        <v>95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/>
      <c r="L221" s="116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/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/>
      <c r="AF221" s="33">
        <f>VLOOKUP(ужин7,таб,93,FALSE)</f>
        <v>0</v>
      </c>
      <c r="AG221" s="87">
        <f>VLOOKUP(ужин8,таб,93,FALSE)</f>
        <v>0</v>
      </c>
      <c r="AH221" s="250"/>
      <c r="AI221" s="142">
        <f>AK221/сред</f>
        <v>0</v>
      </c>
      <c r="AJ221" s="143"/>
      <c r="AK221" s="146">
        <f>SUM(G222:AG222)</f>
        <v>0</v>
      </c>
      <c r="AL221" s="146"/>
      <c r="AM221" s="252">
        <f>IF(AK221=0,0,Таблиця!CP267)</f>
        <v>0</v>
      </c>
      <c r="AN221" s="132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9"/>
      <c r="B222" s="140"/>
      <c r="C222" s="140"/>
      <c r="D222" s="140"/>
      <c r="E222" s="141"/>
      <c r="F222" s="105" t="s">
        <v>96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>
        <f t="shared" si="253"/>
      </c>
      <c r="L222" s="122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/>
      <c r="AF222" s="23">
        <f t="shared" si="253"/>
      </c>
      <c r="AG222" s="83">
        <f t="shared" si="253"/>
      </c>
      <c r="AH222" s="251"/>
      <c r="AI222" s="142"/>
      <c r="AJ222" s="143"/>
      <c r="AK222" s="146"/>
      <c r="AL222" s="146"/>
      <c r="AM222" s="253"/>
      <c r="AN222" s="133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6" t="s">
        <v>452</v>
      </c>
      <c r="B223" s="137"/>
      <c r="C223" s="137"/>
      <c r="D223" s="137"/>
      <c r="E223" s="138"/>
      <c r="F223" s="104" t="s">
        <v>95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6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/>
      <c r="AF223" s="33">
        <f>VLOOKUP(ужин7,таб,94,FALSE)</f>
        <v>0</v>
      </c>
      <c r="AG223" s="87">
        <f>VLOOKUP(ужин8,таб,94,FALSE)</f>
        <v>0</v>
      </c>
      <c r="AH223" s="250"/>
      <c r="AI223" s="142">
        <f>AK223/сред</f>
        <v>0</v>
      </c>
      <c r="AJ223" s="143"/>
      <c r="AK223" s="146">
        <f>SUM(G224:AG224)</f>
        <v>0</v>
      </c>
      <c r="AL223" s="146"/>
      <c r="AM223" s="252">
        <f>IF(AK223=0,0,Таблиця!CQ267)</f>
        <v>0</v>
      </c>
      <c r="AN223" s="132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9"/>
      <c r="B224" s="140"/>
      <c r="C224" s="140"/>
      <c r="D224" s="140"/>
      <c r="E224" s="141"/>
      <c r="F224" s="105" t="s">
        <v>96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>
        <f t="shared" si="254"/>
      </c>
      <c r="L224" s="122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/>
      <c r="AF224" s="23">
        <f t="shared" si="254"/>
      </c>
      <c r="AG224" s="83">
        <f t="shared" si="254"/>
      </c>
      <c r="AH224" s="251"/>
      <c r="AI224" s="142"/>
      <c r="AJ224" s="143"/>
      <c r="AK224" s="146"/>
      <c r="AL224" s="146"/>
      <c r="AM224" s="253"/>
      <c r="AN224" s="133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6" t="s">
        <v>453</v>
      </c>
      <c r="B225" s="137"/>
      <c r="C225" s="137"/>
      <c r="D225" s="137"/>
      <c r="E225" s="138"/>
      <c r="F225" s="104" t="s">
        <v>95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6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/>
      <c r="AF225" s="33">
        <f>VLOOKUP(ужин7,таб,95,FALSE)</f>
        <v>0</v>
      </c>
      <c r="AG225" s="87">
        <f>VLOOKUP(ужин8,таб,95,FALSE)</f>
        <v>0</v>
      </c>
      <c r="AH225" s="250"/>
      <c r="AI225" s="142">
        <f>AK225/сред</f>
        <v>0</v>
      </c>
      <c r="AJ225" s="143"/>
      <c r="AK225" s="146">
        <f>SUM(G226:AG226)</f>
        <v>0</v>
      </c>
      <c r="AL225" s="146"/>
      <c r="AM225" s="252">
        <f>IF(AK225=0,0,Таблиця!CR267)</f>
        <v>0</v>
      </c>
      <c r="AN225" s="132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39"/>
      <c r="B226" s="140"/>
      <c r="C226" s="140"/>
      <c r="D226" s="140"/>
      <c r="E226" s="141"/>
      <c r="F226" s="105" t="s">
        <v>96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>
        <f t="shared" si="255"/>
      </c>
      <c r="L226" s="122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/>
      <c r="AF226" s="23">
        <f t="shared" si="255"/>
      </c>
      <c r="AG226" s="83">
        <f t="shared" si="255"/>
      </c>
      <c r="AH226" s="251"/>
      <c r="AI226" s="142"/>
      <c r="AJ226" s="143"/>
      <c r="AK226" s="146"/>
      <c r="AL226" s="146"/>
      <c r="AM226" s="253"/>
      <c r="AN226" s="133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6" t="s">
        <v>454</v>
      </c>
      <c r="B227" s="137"/>
      <c r="C227" s="137"/>
      <c r="D227" s="137"/>
      <c r="E227" s="138"/>
      <c r="F227" s="104" t="s">
        <v>95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6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/>
      <c r="AF227" s="33">
        <f>VLOOKUP(ужин7,таб,96,FALSE)</f>
        <v>0</v>
      </c>
      <c r="AG227" s="87">
        <f>VLOOKUP(ужин8,таб,96,FALSE)</f>
        <v>0</v>
      </c>
      <c r="AH227" s="250"/>
      <c r="AI227" s="142">
        <f>AK227/сред</f>
        <v>0</v>
      </c>
      <c r="AJ227" s="143"/>
      <c r="AK227" s="146">
        <f>SUM(G228:AG228)</f>
        <v>0</v>
      </c>
      <c r="AL227" s="146"/>
      <c r="AM227" s="252">
        <f>IF(AK227=0,0,Таблиця!CS267)</f>
        <v>0</v>
      </c>
      <c r="AN227" s="132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39"/>
      <c r="B228" s="140"/>
      <c r="C228" s="140"/>
      <c r="D228" s="140"/>
      <c r="E228" s="141"/>
      <c r="F228" s="105" t="s">
        <v>96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>
        <f t="shared" si="256"/>
      </c>
      <c r="L228" s="122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/>
      <c r="AF228" s="23">
        <f t="shared" si="256"/>
      </c>
      <c r="AG228" s="83">
        <f t="shared" si="256"/>
      </c>
      <c r="AH228" s="251"/>
      <c r="AI228" s="142"/>
      <c r="AJ228" s="143"/>
      <c r="AK228" s="146"/>
      <c r="AL228" s="146"/>
      <c r="AM228" s="253"/>
      <c r="AN228" s="133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6" t="s">
        <v>455</v>
      </c>
      <c r="B229" s="137"/>
      <c r="C229" s="137"/>
      <c r="D229" s="137"/>
      <c r="E229" s="138"/>
      <c r="F229" s="104" t="s">
        <v>95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6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/>
      <c r="AF229" s="33">
        <f>VLOOKUP(ужин7,таб,97,FALSE)</f>
        <v>0</v>
      </c>
      <c r="AG229" s="87">
        <f>VLOOKUP(ужин8,таб,97,FALSE)</f>
        <v>0</v>
      </c>
      <c r="AH229" s="250"/>
      <c r="AI229" s="142">
        <f>AK229/сред</f>
        <v>0</v>
      </c>
      <c r="AJ229" s="143"/>
      <c r="AK229" s="146">
        <f>SUM(G230:AG230)</f>
        <v>0</v>
      </c>
      <c r="AL229" s="146"/>
      <c r="AM229" s="252">
        <f>IF(AK229=0,0,Таблиця!CT267)</f>
        <v>0</v>
      </c>
      <c r="AN229" s="132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39"/>
      <c r="B230" s="140"/>
      <c r="C230" s="140"/>
      <c r="D230" s="140"/>
      <c r="E230" s="141"/>
      <c r="F230" s="105" t="s">
        <v>96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>
        <f t="shared" si="257"/>
      </c>
      <c r="L230" s="122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/>
      <c r="AF230" s="23">
        <f t="shared" si="257"/>
      </c>
      <c r="AG230" s="83">
        <f t="shared" si="257"/>
      </c>
      <c r="AH230" s="251"/>
      <c r="AI230" s="142"/>
      <c r="AJ230" s="143"/>
      <c r="AK230" s="146"/>
      <c r="AL230" s="146"/>
      <c r="AM230" s="253"/>
      <c r="AN230" s="133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6" t="s">
        <v>456</v>
      </c>
      <c r="B231" s="137"/>
      <c r="C231" s="137"/>
      <c r="D231" s="137"/>
      <c r="E231" s="138"/>
      <c r="F231" s="104" t="s">
        <v>95</v>
      </c>
      <c r="G231" s="71">
        <f>VLOOKUP(завтрак1,таб,98,FALSE)</f>
        <v>0</v>
      </c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6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/>
      <c r="AF231" s="33">
        <f>VLOOKUP(ужин7,таб,98,FALSE)</f>
        <v>0</v>
      </c>
      <c r="AG231" s="87">
        <f>VLOOKUP(ужин8,таб,98,FALSE)</f>
        <v>0</v>
      </c>
      <c r="AH231" s="250"/>
      <c r="AI231" s="142">
        <f>AK231/сред</f>
        <v>0</v>
      </c>
      <c r="AJ231" s="143"/>
      <c r="AK231" s="146">
        <f>SUM(G232:AG232)</f>
        <v>0</v>
      </c>
      <c r="AL231" s="146"/>
      <c r="AM231" s="252">
        <f>IF(AK231=0,0,Таблиця!CU267)</f>
        <v>0</v>
      </c>
      <c r="AN231" s="132">
        <f>AK231*AM231</f>
        <v>0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39"/>
      <c r="B232" s="140"/>
      <c r="C232" s="140"/>
      <c r="D232" s="140"/>
      <c r="E232" s="141"/>
      <c r="F232" s="105" t="s">
        <v>96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>
        <f t="shared" si="258"/>
      </c>
      <c r="L232" s="122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/>
      <c r="AF232" s="23">
        <f t="shared" si="258"/>
      </c>
      <c r="AG232" s="83">
        <f t="shared" si="258"/>
      </c>
      <c r="AH232" s="251"/>
      <c r="AI232" s="142"/>
      <c r="AJ232" s="143"/>
      <c r="AK232" s="146"/>
      <c r="AL232" s="146"/>
      <c r="AM232" s="253"/>
      <c r="AN232" s="133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6" t="s">
        <v>457</v>
      </c>
      <c r="B233" s="137"/>
      <c r="C233" s="137"/>
      <c r="D233" s="137"/>
      <c r="E233" s="138"/>
      <c r="F233" s="104" t="s">
        <v>95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6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/>
      <c r="AF233" s="33">
        <f>VLOOKUP(ужин7,таб,99,FALSE)</f>
        <v>0</v>
      </c>
      <c r="AG233" s="87">
        <f>VLOOKUP(ужин8,таб,99,FALSE)</f>
        <v>0</v>
      </c>
      <c r="AH233" s="250"/>
      <c r="AI233" s="142">
        <f>AK233/сред</f>
        <v>0</v>
      </c>
      <c r="AJ233" s="143"/>
      <c r="AK233" s="146">
        <f>SUM(G234:AG234)</f>
        <v>0</v>
      </c>
      <c r="AL233" s="146"/>
      <c r="AM233" s="252">
        <f>IF(AK233=0,0,Таблиця!CV267)</f>
        <v>0</v>
      </c>
      <c r="AN233" s="132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39"/>
      <c r="B234" s="140"/>
      <c r="C234" s="140"/>
      <c r="D234" s="140"/>
      <c r="E234" s="141"/>
      <c r="F234" s="105" t="s">
        <v>96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>
        <f t="shared" si="259"/>
      </c>
      <c r="L234" s="122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/>
      <c r="AF234" s="23">
        <f t="shared" si="259"/>
      </c>
      <c r="AG234" s="83">
        <f t="shared" si="259"/>
      </c>
      <c r="AH234" s="251"/>
      <c r="AI234" s="142"/>
      <c r="AJ234" s="143"/>
      <c r="AK234" s="146"/>
      <c r="AL234" s="146"/>
      <c r="AM234" s="253"/>
      <c r="AN234" s="133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6" t="s">
        <v>458</v>
      </c>
      <c r="B235" s="137"/>
      <c r="C235" s="137"/>
      <c r="D235" s="137"/>
      <c r="E235" s="138"/>
      <c r="F235" s="104" t="s">
        <v>95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6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/>
      <c r="AF235" s="33">
        <f>VLOOKUP(ужин7,таб,100,FALSE)</f>
        <v>0</v>
      </c>
      <c r="AG235" s="87">
        <f>VLOOKUP(ужин8,таб,100,FALSE)</f>
        <v>0</v>
      </c>
      <c r="AH235" s="250"/>
      <c r="AI235" s="142">
        <f>AK235/сред</f>
        <v>0</v>
      </c>
      <c r="AJ235" s="143"/>
      <c r="AK235" s="146">
        <f>SUM(G236:AG236)</f>
        <v>0</v>
      </c>
      <c r="AL235" s="146"/>
      <c r="AM235" s="252">
        <f>IF(AK235=0,0,Таблиця!CW267)</f>
        <v>0</v>
      </c>
      <c r="AN235" s="132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39"/>
      <c r="B236" s="140"/>
      <c r="C236" s="140"/>
      <c r="D236" s="140"/>
      <c r="E236" s="141"/>
      <c r="F236" s="105" t="s">
        <v>96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>
        <f t="shared" si="260"/>
      </c>
      <c r="L236" s="122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/>
      <c r="AF236" s="23">
        <f t="shared" si="260"/>
      </c>
      <c r="AG236" s="83">
        <f t="shared" si="260"/>
      </c>
      <c r="AH236" s="251"/>
      <c r="AI236" s="142"/>
      <c r="AJ236" s="143"/>
      <c r="AK236" s="146"/>
      <c r="AL236" s="146"/>
      <c r="AM236" s="253"/>
      <c r="AN236" s="133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6" t="s">
        <v>459</v>
      </c>
      <c r="B237" s="137"/>
      <c r="C237" s="137"/>
      <c r="D237" s="137"/>
      <c r="E237" s="138"/>
      <c r="F237" s="104" t="s">
        <v>95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6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/>
      <c r="AF237" s="33">
        <f>VLOOKUP(ужин7,таб,102,FALSE)</f>
        <v>0</v>
      </c>
      <c r="AG237" s="87">
        <f>VLOOKUP(ужин8,таб,102,FALSE)</f>
        <v>0</v>
      </c>
      <c r="AH237" s="250"/>
      <c r="AI237" s="142">
        <f>AK237/сред</f>
        <v>0</v>
      </c>
      <c r="AJ237" s="143"/>
      <c r="AK237" s="146">
        <f>SUM(G238:AG238)</f>
        <v>0</v>
      </c>
      <c r="AL237" s="146"/>
      <c r="AM237" s="252">
        <f>IF(AK237=0,0,Таблиця!CY267)</f>
        <v>0</v>
      </c>
      <c r="AN237" s="132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39"/>
      <c r="B238" s="140"/>
      <c r="C238" s="140"/>
      <c r="D238" s="140"/>
      <c r="E238" s="141"/>
      <c r="F238" s="105" t="s">
        <v>96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>
        <f t="shared" si="261"/>
      </c>
      <c r="L238" s="122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/>
      <c r="AF238" s="23">
        <f t="shared" si="261"/>
      </c>
      <c r="AG238" s="83">
        <f t="shared" si="261"/>
      </c>
      <c r="AH238" s="251"/>
      <c r="AI238" s="142"/>
      <c r="AJ238" s="143"/>
      <c r="AK238" s="146"/>
      <c r="AL238" s="146"/>
      <c r="AM238" s="253"/>
      <c r="AN238" s="133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 hidden="1">
      <c r="A239" s="136" t="s">
        <v>460</v>
      </c>
      <c r="B239" s="137"/>
      <c r="C239" s="137"/>
      <c r="D239" s="137"/>
      <c r="E239" s="138"/>
      <c r="F239" s="104" t="s">
        <v>95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6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/>
      <c r="AF239" s="33">
        <f>VLOOKUP(ужин7,таб,103,FALSE)</f>
        <v>0</v>
      </c>
      <c r="AG239" s="87">
        <f>VLOOKUP(ужин8,таб,103,FALSE)</f>
        <v>0</v>
      </c>
      <c r="AH239" s="250"/>
      <c r="AI239" s="142">
        <f>AK239/сред</f>
        <v>0</v>
      </c>
      <c r="AJ239" s="143"/>
      <c r="AK239" s="146">
        <f>SUM(G240:AG240)</f>
        <v>0</v>
      </c>
      <c r="AL239" s="146"/>
      <c r="AM239" s="252">
        <f>IF(AK239=0,0,Таблиця!CZ267)</f>
        <v>0</v>
      </c>
      <c r="AN239" s="132">
        <f>AK239*AM239</f>
        <v>0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 hidden="1">
      <c r="A240" s="139"/>
      <c r="B240" s="140"/>
      <c r="C240" s="140"/>
      <c r="D240" s="140"/>
      <c r="E240" s="141"/>
      <c r="F240" s="105" t="s">
        <v>96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>
        <f t="shared" si="262"/>
      </c>
      <c r="L240" s="122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/>
      <c r="AF240" s="23">
        <f t="shared" si="262"/>
      </c>
      <c r="AG240" s="83">
        <f t="shared" si="262"/>
      </c>
      <c r="AH240" s="251"/>
      <c r="AI240" s="142"/>
      <c r="AJ240" s="143"/>
      <c r="AK240" s="146"/>
      <c r="AL240" s="146"/>
      <c r="AM240" s="253"/>
      <c r="AN240" s="133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 hidden="1">
      <c r="A241" s="136" t="s">
        <v>461</v>
      </c>
      <c r="B241" s="137"/>
      <c r="C241" s="137"/>
      <c r="D241" s="137"/>
      <c r="E241" s="138"/>
      <c r="F241" s="104" t="s">
        <v>95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6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/>
      <c r="AF241" s="33">
        <f>VLOOKUP(ужин7,таб,105,FALSE)</f>
        <v>0</v>
      </c>
      <c r="AG241" s="87">
        <f>VLOOKUP(ужин8,таб,105,FALSE)</f>
        <v>0</v>
      </c>
      <c r="AH241" s="250"/>
      <c r="AI241" s="142">
        <f>AK241/сред</f>
        <v>0</v>
      </c>
      <c r="AJ241" s="143"/>
      <c r="AK241" s="146">
        <f>SUM(G242:AG242)</f>
        <v>0</v>
      </c>
      <c r="AL241" s="146"/>
      <c r="AM241" s="252">
        <f>IF(AK241=0,0,Таблиця!DB267)</f>
        <v>0</v>
      </c>
      <c r="AN241" s="132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 hidden="1">
      <c r="A242" s="139"/>
      <c r="B242" s="140"/>
      <c r="C242" s="140"/>
      <c r="D242" s="140"/>
      <c r="E242" s="141"/>
      <c r="F242" s="105" t="s">
        <v>96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>
        <f t="shared" si="263"/>
      </c>
      <c r="L242" s="122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/>
      <c r="AF242" s="23">
        <f t="shared" si="263"/>
      </c>
      <c r="AG242" s="83">
        <f t="shared" si="263"/>
      </c>
      <c r="AH242" s="251"/>
      <c r="AI242" s="142"/>
      <c r="AJ242" s="143"/>
      <c r="AK242" s="146"/>
      <c r="AL242" s="146"/>
      <c r="AM242" s="253"/>
      <c r="AN242" s="133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6" t="s">
        <v>462</v>
      </c>
      <c r="B243" s="137"/>
      <c r="C243" s="137"/>
      <c r="D243" s="137"/>
      <c r="E243" s="138"/>
      <c r="F243" s="104" t="s">
        <v>95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6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0</v>
      </c>
      <c r="T243" s="33">
        <f>VLOOKUP(обед6,таб,106,FALSE)</f>
        <v>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v>15</v>
      </c>
      <c r="AF243" s="33">
        <f>VLOOKUP(ужин7,таб,106,FALSE)</f>
        <v>0</v>
      </c>
      <c r="AG243" s="87">
        <f>VLOOKUP(ужин8,таб,106,FALSE)</f>
        <v>0</v>
      </c>
      <c r="AH243" s="250"/>
      <c r="AI243" s="142">
        <f>AK243/сред</f>
        <v>0.01636363636363636</v>
      </c>
      <c r="AJ243" s="143"/>
      <c r="AK243" s="146">
        <f>SUM(G244:AG244)</f>
        <v>0.36</v>
      </c>
      <c r="AL243" s="146"/>
      <c r="AM243" s="252">
        <f>IF(AK243=0,0,Таблиця!DC267)</f>
        <v>90</v>
      </c>
      <c r="AN243" s="132">
        <f>AK243*AM243</f>
        <v>32.4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9"/>
      <c r="B244" s="140"/>
      <c r="C244" s="140"/>
      <c r="D244" s="140"/>
      <c r="E244" s="141"/>
      <c r="F244" s="105" t="s">
        <v>96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>
        <f t="shared" si="264"/>
      </c>
      <c r="L244" s="122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</c>
      <c r="T244" s="23">
        <f t="shared" si="264"/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  <v>0.36</v>
      </c>
      <c r="AF244" s="23">
        <f t="shared" si="264"/>
      </c>
      <c r="AG244" s="83">
        <f t="shared" si="264"/>
      </c>
      <c r="AH244" s="251"/>
      <c r="AI244" s="142"/>
      <c r="AJ244" s="143"/>
      <c r="AK244" s="146"/>
      <c r="AL244" s="146"/>
      <c r="AM244" s="253"/>
      <c r="AN244" s="133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>
      <c r="A245" s="136" t="s">
        <v>463</v>
      </c>
      <c r="B245" s="137"/>
      <c r="C245" s="137"/>
      <c r="D245" s="137"/>
      <c r="E245" s="138"/>
      <c r="F245" s="104" t="s">
        <v>95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6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/>
      <c r="AF245" s="33">
        <f>VLOOKUP(ужин7,таб,107,FALSE)</f>
        <v>0</v>
      </c>
      <c r="AG245" s="87">
        <f>VLOOKUP(ужин8,таб,107,FALSE)</f>
        <v>0</v>
      </c>
      <c r="AH245" s="250"/>
      <c r="AI245" s="142">
        <f>AK245/сред</f>
        <v>0</v>
      </c>
      <c r="AJ245" s="143"/>
      <c r="AK245" s="146">
        <f>SUM(G246:AG246)</f>
        <v>0</v>
      </c>
      <c r="AL245" s="146"/>
      <c r="AM245" s="252">
        <f>IF(AK245=0,0,Таблиця!DD267)</f>
        <v>0</v>
      </c>
      <c r="AN245" s="132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>
      <c r="A246" s="139"/>
      <c r="B246" s="140"/>
      <c r="C246" s="140"/>
      <c r="D246" s="140"/>
      <c r="E246" s="141"/>
      <c r="F246" s="105" t="s">
        <v>96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>
        <f t="shared" si="265"/>
      </c>
      <c r="L246" s="122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/>
      <c r="AF246" s="23">
        <f t="shared" si="265"/>
      </c>
      <c r="AG246" s="83">
        <f t="shared" si="265"/>
      </c>
      <c r="AH246" s="251"/>
      <c r="AI246" s="142"/>
      <c r="AJ246" s="143"/>
      <c r="AK246" s="146"/>
      <c r="AL246" s="146"/>
      <c r="AM246" s="253"/>
      <c r="AN246" s="133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>
      <c r="A247" s="136" t="s">
        <v>464</v>
      </c>
      <c r="B247" s="137"/>
      <c r="C247" s="137"/>
      <c r="D247" s="137"/>
      <c r="E247" s="138"/>
      <c r="F247" s="104" t="s">
        <v>95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6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/>
      <c r="AF247" s="33">
        <f>VLOOKUP(ужин7,таб,108,FALSE)</f>
        <v>0</v>
      </c>
      <c r="AG247" s="87">
        <f>VLOOKUP(ужин8,таб,108,FALSE)</f>
        <v>0</v>
      </c>
      <c r="AH247" s="250"/>
      <c r="AI247" s="142">
        <f>AK247/сред</f>
        <v>0</v>
      </c>
      <c r="AJ247" s="143"/>
      <c r="AK247" s="146">
        <f>SUM(G248:AG248)</f>
        <v>0</v>
      </c>
      <c r="AL247" s="146"/>
      <c r="AM247" s="252">
        <f>IF(AK247=0,0,Таблиця!DE267)</f>
        <v>0</v>
      </c>
      <c r="AN247" s="132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>
      <c r="A248" s="139"/>
      <c r="B248" s="140"/>
      <c r="C248" s="140"/>
      <c r="D248" s="140"/>
      <c r="E248" s="141"/>
      <c r="F248" s="105" t="s">
        <v>96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>
        <f t="shared" si="266"/>
      </c>
      <c r="L248" s="122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/>
      <c r="AF248" s="23">
        <f t="shared" si="266"/>
      </c>
      <c r="AG248" s="83">
        <f t="shared" si="266"/>
      </c>
      <c r="AH248" s="251"/>
      <c r="AI248" s="142"/>
      <c r="AJ248" s="143"/>
      <c r="AK248" s="146"/>
      <c r="AL248" s="146"/>
      <c r="AM248" s="253"/>
      <c r="AN248" s="133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>
      <c r="A249" s="136" t="s">
        <v>465</v>
      </c>
      <c r="B249" s="137"/>
      <c r="C249" s="137"/>
      <c r="D249" s="137"/>
      <c r="E249" s="138"/>
      <c r="F249" s="104" t="s">
        <v>95</v>
      </c>
      <c r="G249" s="71">
        <f>VLOOKUP(завтрак1,таб,109,FALSE)</f>
        <v>0</v>
      </c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6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/>
      <c r="AF249" s="33">
        <f>VLOOKUP(ужин7,таб,109,FALSE)</f>
        <v>0</v>
      </c>
      <c r="AG249" s="87">
        <f>VLOOKUP(ужин8,таб,109,FALSE)</f>
        <v>0</v>
      </c>
      <c r="AH249" s="250"/>
      <c r="AI249" s="142">
        <f>AK249/сред</f>
        <v>0</v>
      </c>
      <c r="AJ249" s="143"/>
      <c r="AK249" s="146">
        <f>SUM(G250:AG250)</f>
        <v>0</v>
      </c>
      <c r="AL249" s="146"/>
      <c r="AM249" s="252">
        <f>IF(AK249=0,0,Таблиця!DF267)</f>
        <v>0</v>
      </c>
      <c r="AN249" s="132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>
      <c r="A250" s="139"/>
      <c r="B250" s="140"/>
      <c r="C250" s="140"/>
      <c r="D250" s="140"/>
      <c r="E250" s="141"/>
      <c r="F250" s="105" t="s">
        <v>96</v>
      </c>
      <c r="G250" s="75">
        <f aca="true" t="shared" si="267" ref="G250:AG250">IF(G249=0,"",завтракл*G249/1000)</f>
      </c>
      <c r="H250" s="23">
        <f t="shared" si="267"/>
      </c>
      <c r="I250" s="23">
        <f t="shared" si="267"/>
      </c>
      <c r="J250" s="23">
        <f t="shared" si="267"/>
      </c>
      <c r="K250" s="23">
        <f t="shared" si="267"/>
      </c>
      <c r="L250" s="122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/>
      <c r="AF250" s="23">
        <f t="shared" si="267"/>
      </c>
      <c r="AG250" s="83">
        <f t="shared" si="267"/>
      </c>
      <c r="AH250" s="251"/>
      <c r="AI250" s="142"/>
      <c r="AJ250" s="143"/>
      <c r="AK250" s="146"/>
      <c r="AL250" s="146"/>
      <c r="AM250" s="253"/>
      <c r="AN250" s="133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>
      <c r="A251" s="136" t="s">
        <v>466</v>
      </c>
      <c r="B251" s="137"/>
      <c r="C251" s="137"/>
      <c r="D251" s="137"/>
      <c r="E251" s="138"/>
      <c r="F251" s="104" t="s">
        <v>95</v>
      </c>
      <c r="G251" s="71">
        <f>VLOOKUP(завтрак1,таб,110,FALSE)</f>
        <v>0</v>
      </c>
      <c r="H251" s="26">
        <f>VLOOKUP(завтрак2,таб,110,FALSE)</f>
        <v>0</v>
      </c>
      <c r="I251" s="26">
        <v>0.1</v>
      </c>
      <c r="J251" s="26">
        <f>VLOOKUP(завтрак4,таб,110,FALSE)</f>
        <v>0</v>
      </c>
      <c r="K251" s="26">
        <f>VLOOKUP(завтрак5,таб,110,FALSE)</f>
        <v>0</v>
      </c>
      <c r="L251" s="116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f>VLOOKUP(обед4,таб,110,FALSE)</f>
        <v>0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/>
      <c r="AF251" s="33">
        <f>VLOOKUP(ужин7,таб,110,FALSE)</f>
        <v>0</v>
      </c>
      <c r="AG251" s="87">
        <f>VLOOKUP(ужин8,таб,110,FALSE)</f>
        <v>0</v>
      </c>
      <c r="AH251" s="250"/>
      <c r="AI251" s="142">
        <f>AK251/сред</f>
        <v>0.0001090909090909091</v>
      </c>
      <c r="AJ251" s="143"/>
      <c r="AK251" s="146">
        <f>SUM(G252:AG252)</f>
        <v>0.0024000000000000002</v>
      </c>
      <c r="AL251" s="146"/>
      <c r="AM251" s="252">
        <f>IF(AK251=0,0,Таблиця!DG267)</f>
        <v>325</v>
      </c>
      <c r="AN251" s="132">
        <f>AK251*AM251</f>
        <v>0.78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>
      <c r="A252" s="139"/>
      <c r="B252" s="140"/>
      <c r="C252" s="140"/>
      <c r="D252" s="140"/>
      <c r="E252" s="141"/>
      <c r="F252" s="105" t="s">
        <v>96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  <v>0.0024000000000000002</v>
      </c>
      <c r="J252" s="23">
        <f t="shared" si="268"/>
      </c>
      <c r="K252" s="23">
        <f t="shared" si="268"/>
      </c>
      <c r="L252" s="122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/>
      <c r="AF252" s="23">
        <f t="shared" si="268"/>
      </c>
      <c r="AG252" s="83">
        <f t="shared" si="268"/>
      </c>
      <c r="AH252" s="251"/>
      <c r="AI252" s="142"/>
      <c r="AJ252" s="143"/>
      <c r="AK252" s="146"/>
      <c r="AL252" s="146"/>
      <c r="AM252" s="253"/>
      <c r="AN252" s="133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>
      <c r="A253" s="136" t="s">
        <v>467</v>
      </c>
      <c r="B253" s="137"/>
      <c r="C253" s="137"/>
      <c r="D253" s="137"/>
      <c r="E253" s="138"/>
      <c r="F253" s="104" t="s">
        <v>95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6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/>
      <c r="AF253" s="33">
        <f>VLOOKUP(ужин7,таб,111,FALSE)</f>
        <v>0</v>
      </c>
      <c r="AG253" s="87">
        <f>VLOOKUP(ужин8,таб,111,FALSE)</f>
        <v>0</v>
      </c>
      <c r="AH253" s="250"/>
      <c r="AI253" s="142">
        <f>AK253/сред</f>
        <v>0</v>
      </c>
      <c r="AJ253" s="143"/>
      <c r="AK253" s="146">
        <f>SUM(G254:AG254)</f>
        <v>0</v>
      </c>
      <c r="AL253" s="146"/>
      <c r="AM253" s="252">
        <f>IF(AK253=0,0,Таблиця!DH267)</f>
        <v>0</v>
      </c>
      <c r="AN253" s="132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>
      <c r="A254" s="139"/>
      <c r="B254" s="140"/>
      <c r="C254" s="140"/>
      <c r="D254" s="140"/>
      <c r="E254" s="141"/>
      <c r="F254" s="105" t="s">
        <v>96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>
        <f t="shared" si="269"/>
      </c>
      <c r="L254" s="122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/>
      <c r="AF254" s="23">
        <f t="shared" si="269"/>
      </c>
      <c r="AG254" s="83">
        <f t="shared" si="269"/>
      </c>
      <c r="AH254" s="251"/>
      <c r="AI254" s="142"/>
      <c r="AJ254" s="143"/>
      <c r="AK254" s="146"/>
      <c r="AL254" s="146"/>
      <c r="AM254" s="253"/>
      <c r="AN254" s="133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6" t="s">
        <v>468</v>
      </c>
      <c r="B255" s="137"/>
      <c r="C255" s="137"/>
      <c r="D255" s="137"/>
      <c r="E255" s="138"/>
      <c r="F255" s="104" t="s">
        <v>95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6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/>
      <c r="AF255" s="33">
        <f>VLOOKUP(ужин7,таб,112,FALSE)</f>
        <v>0</v>
      </c>
      <c r="AG255" s="87">
        <f>VLOOKUP(ужин8,таб,112,FALSE)</f>
        <v>0</v>
      </c>
      <c r="AH255" s="250"/>
      <c r="AI255" s="142">
        <f>AK255/сред</f>
        <v>0</v>
      </c>
      <c r="AJ255" s="143"/>
      <c r="AK255" s="146">
        <f>SUM(G256:AG256)</f>
        <v>0</v>
      </c>
      <c r="AL255" s="146"/>
      <c r="AM255" s="252">
        <f>IF(AK255=0,0,Таблиця!DI267)</f>
        <v>0</v>
      </c>
      <c r="AN255" s="132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9"/>
      <c r="B256" s="140"/>
      <c r="C256" s="140"/>
      <c r="D256" s="140"/>
      <c r="E256" s="141"/>
      <c r="F256" s="105" t="s">
        <v>96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>
        <f t="shared" si="270"/>
      </c>
      <c r="L256" s="122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/>
      <c r="AF256" s="23">
        <f t="shared" si="270"/>
      </c>
      <c r="AG256" s="83">
        <f t="shared" si="270"/>
      </c>
      <c r="AH256" s="251"/>
      <c r="AI256" s="142"/>
      <c r="AJ256" s="143"/>
      <c r="AK256" s="146"/>
      <c r="AL256" s="146"/>
      <c r="AM256" s="253"/>
      <c r="AN256" s="133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6" t="s">
        <v>469</v>
      </c>
      <c r="B257" s="137"/>
      <c r="C257" s="137"/>
      <c r="D257" s="137"/>
      <c r="E257" s="138"/>
      <c r="F257" s="104" t="s">
        <v>95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6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/>
      <c r="AF257" s="33">
        <f>VLOOKUP(ужин7,таб,113,FALSE)</f>
        <v>0</v>
      </c>
      <c r="AG257" s="87">
        <f>VLOOKUP(ужин8,таб,113,FALSE)</f>
        <v>0</v>
      </c>
      <c r="AH257" s="250"/>
      <c r="AI257" s="142">
        <f>AK257/сред</f>
        <v>0</v>
      </c>
      <c r="AJ257" s="143"/>
      <c r="AK257" s="146">
        <f>SUM(G258:AG258)</f>
        <v>0</v>
      </c>
      <c r="AL257" s="146"/>
      <c r="AM257" s="252">
        <f>IF(AK257=0,0,Таблиця!DJ267)</f>
        <v>0</v>
      </c>
      <c r="AN257" s="132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9"/>
      <c r="B258" s="140"/>
      <c r="C258" s="140"/>
      <c r="D258" s="140"/>
      <c r="E258" s="141"/>
      <c r="F258" s="105" t="s">
        <v>96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>
        <f t="shared" si="271"/>
      </c>
      <c r="L258" s="122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/>
      <c r="AF258" s="23">
        <f t="shared" si="271"/>
      </c>
      <c r="AG258" s="83">
        <f t="shared" si="271"/>
      </c>
      <c r="AH258" s="251"/>
      <c r="AI258" s="142"/>
      <c r="AJ258" s="143"/>
      <c r="AK258" s="146"/>
      <c r="AL258" s="146"/>
      <c r="AM258" s="253"/>
      <c r="AN258" s="133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6" t="s">
        <v>470</v>
      </c>
      <c r="B259" s="137"/>
      <c r="C259" s="137"/>
      <c r="D259" s="137"/>
      <c r="E259" s="138"/>
      <c r="F259" s="104" t="s">
        <v>95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6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/>
      <c r="AF259" s="33">
        <f>VLOOKUP(ужин7,таб,114,FALSE)</f>
        <v>0</v>
      </c>
      <c r="AG259" s="87">
        <f>VLOOKUP(ужин8,таб,114,FALSE)</f>
        <v>0</v>
      </c>
      <c r="AH259" s="250"/>
      <c r="AI259" s="142">
        <f>AK259/сред</f>
        <v>0</v>
      </c>
      <c r="AJ259" s="143"/>
      <c r="AK259" s="146">
        <f>SUM(G260:AG260)</f>
        <v>0</v>
      </c>
      <c r="AL259" s="146"/>
      <c r="AM259" s="252">
        <f>IF(AK259=0,0,Таблиця!DK267)</f>
        <v>0</v>
      </c>
      <c r="AN259" s="132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9"/>
      <c r="B260" s="140"/>
      <c r="C260" s="140"/>
      <c r="D260" s="140"/>
      <c r="E260" s="141"/>
      <c r="F260" s="105" t="s">
        <v>96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>
        <f t="shared" si="272"/>
      </c>
      <c r="L260" s="122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/>
      <c r="AF260" s="23">
        <f t="shared" si="272"/>
      </c>
      <c r="AG260" s="83">
        <f t="shared" si="272"/>
      </c>
      <c r="AH260" s="251"/>
      <c r="AI260" s="142"/>
      <c r="AJ260" s="143"/>
      <c r="AK260" s="146"/>
      <c r="AL260" s="146"/>
      <c r="AM260" s="253"/>
      <c r="AN260" s="133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6" t="s">
        <v>471</v>
      </c>
      <c r="B261" s="137"/>
      <c r="C261" s="137"/>
      <c r="D261" s="137"/>
      <c r="E261" s="138"/>
      <c r="F261" s="104" t="s">
        <v>95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6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/>
      <c r="AF261" s="33">
        <f>VLOOKUP(ужин7,таб,115,FALSE)</f>
        <v>0</v>
      </c>
      <c r="AG261" s="87">
        <f>VLOOKUP(ужин8,таб,115,FALSE)</f>
        <v>0</v>
      </c>
      <c r="AH261" s="250"/>
      <c r="AI261" s="142">
        <f>AK261/сред</f>
        <v>0</v>
      </c>
      <c r="AJ261" s="143"/>
      <c r="AK261" s="146">
        <f>SUM(G262:AG262)</f>
        <v>0</v>
      </c>
      <c r="AL261" s="146"/>
      <c r="AM261" s="252">
        <f>IF(AK261=0,0,Таблиця!DL267)</f>
        <v>0</v>
      </c>
      <c r="AN261" s="132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9"/>
      <c r="B262" s="140"/>
      <c r="C262" s="140"/>
      <c r="D262" s="140"/>
      <c r="E262" s="141"/>
      <c r="F262" s="105" t="s">
        <v>96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>
        <f t="shared" si="273"/>
      </c>
      <c r="L262" s="122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/>
      <c r="AF262" s="23">
        <f t="shared" si="273"/>
      </c>
      <c r="AG262" s="83">
        <f t="shared" si="273"/>
      </c>
      <c r="AH262" s="251"/>
      <c r="AI262" s="142"/>
      <c r="AJ262" s="143"/>
      <c r="AK262" s="146"/>
      <c r="AL262" s="146"/>
      <c r="AM262" s="253"/>
      <c r="AN262" s="133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6" t="s">
        <v>472</v>
      </c>
      <c r="B263" s="137"/>
      <c r="C263" s="137"/>
      <c r="D263" s="137"/>
      <c r="E263" s="138"/>
      <c r="F263" s="104" t="s">
        <v>95</v>
      </c>
      <c r="G263" s="71">
        <f>VLOOKUP(завтрак1,таб,116,FALSE)</f>
        <v>0</v>
      </c>
      <c r="H263" s="26"/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6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/>
      <c r="AF263" s="33">
        <f>VLOOKUP(ужин7,таб,116,FALSE)</f>
        <v>0</v>
      </c>
      <c r="AG263" s="87">
        <f>VLOOKUP(ужин8,таб,116,FALSE)</f>
        <v>0</v>
      </c>
      <c r="AH263" s="250"/>
      <c r="AI263" s="142">
        <f>AK263/сред</f>
        <v>0</v>
      </c>
      <c r="AJ263" s="143"/>
      <c r="AK263" s="146">
        <f>SUM(G264:AG264)</f>
        <v>0</v>
      </c>
      <c r="AL263" s="146"/>
      <c r="AM263" s="252">
        <f>IF(AK263=0,0,Таблиця!DM267)</f>
        <v>0</v>
      </c>
      <c r="AN263" s="132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9"/>
      <c r="B264" s="140"/>
      <c r="C264" s="140"/>
      <c r="D264" s="140"/>
      <c r="E264" s="141"/>
      <c r="F264" s="105" t="s">
        <v>96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>
        <f t="shared" si="274"/>
      </c>
      <c r="L264" s="122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/>
      <c r="AF264" s="23">
        <f t="shared" si="274"/>
      </c>
      <c r="AG264" s="83">
        <f t="shared" si="274"/>
      </c>
      <c r="AH264" s="251"/>
      <c r="AI264" s="142"/>
      <c r="AJ264" s="143"/>
      <c r="AK264" s="146"/>
      <c r="AL264" s="146"/>
      <c r="AM264" s="253"/>
      <c r="AN264" s="133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>
      <c r="A265" s="136" t="s">
        <v>473</v>
      </c>
      <c r="B265" s="137"/>
      <c r="C265" s="137"/>
      <c r="D265" s="137"/>
      <c r="E265" s="138"/>
      <c r="F265" s="104" t="s">
        <v>95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6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/>
      <c r="AF265" s="33">
        <f>VLOOKUP(ужин7,таб,117,FALSE)</f>
        <v>0</v>
      </c>
      <c r="AG265" s="87">
        <f>VLOOKUP(ужин8,таб,117,FALSE)</f>
        <v>0</v>
      </c>
      <c r="AH265" s="250"/>
      <c r="AI265" s="142">
        <f>AK265/сред</f>
        <v>0</v>
      </c>
      <c r="AJ265" s="143"/>
      <c r="AK265" s="146">
        <f>SUM(G266:AG266)</f>
        <v>0</v>
      </c>
      <c r="AL265" s="146"/>
      <c r="AM265" s="252">
        <f>IF(AK265=0,0,Таблиця!DN267)</f>
        <v>0</v>
      </c>
      <c r="AN265" s="132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>
      <c r="A266" s="139"/>
      <c r="B266" s="140"/>
      <c r="C266" s="140"/>
      <c r="D266" s="140"/>
      <c r="E266" s="141"/>
      <c r="F266" s="105" t="s">
        <v>96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>
        <f t="shared" si="275"/>
      </c>
      <c r="L266" s="122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/>
      <c r="AF266" s="23">
        <f t="shared" si="275"/>
      </c>
      <c r="AG266" s="83">
        <f t="shared" si="275"/>
      </c>
      <c r="AH266" s="251"/>
      <c r="AI266" s="142"/>
      <c r="AJ266" s="143"/>
      <c r="AK266" s="146"/>
      <c r="AL266" s="146"/>
      <c r="AM266" s="253"/>
      <c r="AN266" s="133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>
      <c r="A267" s="136" t="s">
        <v>474</v>
      </c>
      <c r="B267" s="137"/>
      <c r="C267" s="137"/>
      <c r="D267" s="137"/>
      <c r="E267" s="138"/>
      <c r="F267" s="104" t="s">
        <v>95</v>
      </c>
      <c r="G267" s="71">
        <f>VLOOKUP(завтрак1,таб,118,FALSE)</f>
        <v>0</v>
      </c>
      <c r="H267" s="26">
        <f>VLOOKUP(завтрак2,таб,118,FALSE)</f>
        <v>0</v>
      </c>
      <c r="I267" s="26">
        <v>0.1</v>
      </c>
      <c r="J267" s="26">
        <f>VLOOKUP(завтрак4,таб,118,FALSE)</f>
        <v>0</v>
      </c>
      <c r="K267" s="26">
        <f>VLOOKUP(завтрак5,таб,118,FALSE)</f>
        <v>0</v>
      </c>
      <c r="L267" s="116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f>VLOOKUP(обед4,таб,118,FALSE)</f>
        <v>0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/>
      <c r="AF267" s="33">
        <f>VLOOKUP(ужин7,таб,118,FALSE)</f>
        <v>0</v>
      </c>
      <c r="AG267" s="87">
        <f>VLOOKUP(ужин8,таб,118,FALSE)</f>
        <v>0</v>
      </c>
      <c r="AH267" s="250"/>
      <c r="AI267" s="142">
        <f>AK267/сред</f>
        <v>0.0001090909090909091</v>
      </c>
      <c r="AJ267" s="143"/>
      <c r="AK267" s="146">
        <f>SUM(G268:AG268)</f>
        <v>0.0024000000000000002</v>
      </c>
      <c r="AL267" s="146"/>
      <c r="AM267" s="252">
        <f>IF(AK267=0,0,Таблиця!DO267)</f>
        <v>480</v>
      </c>
      <c r="AN267" s="132">
        <f>AK267*AM267</f>
        <v>1.1520000000000001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>
      <c r="A268" s="139"/>
      <c r="B268" s="140"/>
      <c r="C268" s="140"/>
      <c r="D268" s="140"/>
      <c r="E268" s="141"/>
      <c r="F268" s="105" t="s">
        <v>96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  <v>0.0024000000000000002</v>
      </c>
      <c r="J268" s="23">
        <f t="shared" si="276"/>
      </c>
      <c r="K268" s="23">
        <f t="shared" si="276"/>
      </c>
      <c r="L268" s="122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/>
      <c r="AF268" s="23">
        <f t="shared" si="276"/>
      </c>
      <c r="AG268" s="83">
        <f t="shared" si="276"/>
      </c>
      <c r="AH268" s="251"/>
      <c r="AI268" s="142"/>
      <c r="AJ268" s="143"/>
      <c r="AK268" s="146"/>
      <c r="AL268" s="146"/>
      <c r="AM268" s="253"/>
      <c r="AN268" s="133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6" t="s">
        <v>475</v>
      </c>
      <c r="B269" s="137"/>
      <c r="C269" s="137"/>
      <c r="D269" s="137"/>
      <c r="E269" s="138"/>
      <c r="F269" s="104" t="s">
        <v>95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6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/>
      <c r="AF269" s="33">
        <f>VLOOKUP(ужин7,таб,119,FALSE)</f>
        <v>0</v>
      </c>
      <c r="AG269" s="87">
        <f>VLOOKUP(ужин8,таб,119,FALSE)</f>
        <v>0</v>
      </c>
      <c r="AH269" s="250"/>
      <c r="AI269" s="142">
        <f>AK269/сред</f>
        <v>0</v>
      </c>
      <c r="AJ269" s="143"/>
      <c r="AK269" s="146">
        <f>SUM(G270:AG270)</f>
        <v>0</v>
      </c>
      <c r="AL269" s="146"/>
      <c r="AM269" s="252">
        <f>IF(AK269=0,0,Таблиця!DP267)</f>
        <v>0</v>
      </c>
      <c r="AN269" s="132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9"/>
      <c r="B270" s="140"/>
      <c r="C270" s="140"/>
      <c r="D270" s="140"/>
      <c r="E270" s="141"/>
      <c r="F270" s="105" t="s">
        <v>96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>
        <f t="shared" si="277"/>
      </c>
      <c r="L270" s="122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/>
      <c r="AF270" s="23">
        <f t="shared" si="277"/>
      </c>
      <c r="AG270" s="83">
        <f t="shared" si="277"/>
      </c>
      <c r="AH270" s="251"/>
      <c r="AI270" s="142"/>
      <c r="AJ270" s="143"/>
      <c r="AK270" s="146"/>
      <c r="AL270" s="146"/>
      <c r="AM270" s="253"/>
      <c r="AN270" s="133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6" t="s">
        <v>476</v>
      </c>
      <c r="B271" s="137"/>
      <c r="C271" s="137"/>
      <c r="D271" s="137"/>
      <c r="E271" s="138"/>
      <c r="F271" s="104" t="s">
        <v>95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6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/>
      <c r="AF271" s="33">
        <f>VLOOKUP(ужин7,таб,120,FALSE)</f>
        <v>0</v>
      </c>
      <c r="AG271" s="87">
        <f>VLOOKUP(ужин8,таб,120,FALSE)</f>
        <v>0</v>
      </c>
      <c r="AH271" s="250"/>
      <c r="AI271" s="142">
        <f>AK271/сред</f>
        <v>0</v>
      </c>
      <c r="AJ271" s="143"/>
      <c r="AK271" s="146">
        <f>SUM(G272:AG272)</f>
        <v>0</v>
      </c>
      <c r="AL271" s="146"/>
      <c r="AM271" s="252">
        <f>IF(AK271=0,0,Таблиця!DQ267)</f>
        <v>0</v>
      </c>
      <c r="AN271" s="132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9"/>
      <c r="B272" s="140"/>
      <c r="C272" s="140"/>
      <c r="D272" s="140"/>
      <c r="E272" s="141"/>
      <c r="F272" s="105" t="s">
        <v>96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>
        <f t="shared" si="278"/>
      </c>
      <c r="L272" s="122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/>
      <c r="AF272" s="23">
        <f t="shared" si="278"/>
      </c>
      <c r="AG272" s="83">
        <f t="shared" si="278"/>
      </c>
      <c r="AH272" s="251"/>
      <c r="AI272" s="142"/>
      <c r="AJ272" s="143"/>
      <c r="AK272" s="146"/>
      <c r="AL272" s="146"/>
      <c r="AM272" s="253"/>
      <c r="AN272" s="133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6" t="s">
        <v>477</v>
      </c>
      <c r="B273" s="137"/>
      <c r="C273" s="137"/>
      <c r="D273" s="137"/>
      <c r="E273" s="138"/>
      <c r="F273" s="104" t="s">
        <v>95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6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/>
      <c r="AF273" s="33">
        <f>VLOOKUP(ужин7,таб,121,FALSE)</f>
        <v>0</v>
      </c>
      <c r="AG273" s="87">
        <f>VLOOKUP(ужин8,таб,121,FALSE)</f>
        <v>0</v>
      </c>
      <c r="AH273" s="250"/>
      <c r="AI273" s="142">
        <f>AK273/сред</f>
        <v>0</v>
      </c>
      <c r="AJ273" s="143"/>
      <c r="AK273" s="146">
        <f>SUM(G274:AG274)</f>
        <v>0</v>
      </c>
      <c r="AL273" s="146"/>
      <c r="AM273" s="252">
        <f>IF(AK273=0,0,Таблиця!DR267)</f>
        <v>0</v>
      </c>
      <c r="AN273" s="132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9"/>
      <c r="B274" s="140"/>
      <c r="C274" s="140"/>
      <c r="D274" s="140"/>
      <c r="E274" s="141"/>
      <c r="F274" s="105" t="s">
        <v>96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>
        <f t="shared" si="279"/>
      </c>
      <c r="L274" s="122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/>
      <c r="AF274" s="23">
        <f t="shared" si="279"/>
      </c>
      <c r="AG274" s="83">
        <f t="shared" si="279"/>
      </c>
      <c r="AH274" s="251"/>
      <c r="AI274" s="142"/>
      <c r="AJ274" s="143"/>
      <c r="AK274" s="146"/>
      <c r="AL274" s="146"/>
      <c r="AM274" s="253"/>
      <c r="AN274" s="133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6" t="s">
        <v>478</v>
      </c>
      <c r="B275" s="137"/>
      <c r="C275" s="137"/>
      <c r="D275" s="137"/>
      <c r="E275" s="138"/>
      <c r="F275" s="104" t="s">
        <v>95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6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/>
      <c r="AF275" s="33">
        <f>VLOOKUP(ужин7,таб,122,FALSE)</f>
        <v>0</v>
      </c>
      <c r="AG275" s="87">
        <f>VLOOKUP(ужин8,таб,122,FALSE)</f>
        <v>0</v>
      </c>
      <c r="AH275" s="250"/>
      <c r="AI275" s="142">
        <f>AK275/сред</f>
        <v>0</v>
      </c>
      <c r="AJ275" s="143"/>
      <c r="AK275" s="146">
        <f>SUM(G276:AG276)</f>
        <v>0</v>
      </c>
      <c r="AL275" s="146"/>
      <c r="AM275" s="252">
        <f>IF(AK275=0,0,Таблиця!DS267)</f>
        <v>0</v>
      </c>
      <c r="AN275" s="132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9"/>
      <c r="B276" s="140"/>
      <c r="C276" s="140"/>
      <c r="D276" s="140"/>
      <c r="E276" s="141"/>
      <c r="F276" s="105" t="s">
        <v>96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>
        <f t="shared" si="280"/>
      </c>
      <c r="L276" s="122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/>
      <c r="AF276" s="23">
        <f t="shared" si="280"/>
      </c>
      <c r="AG276" s="83">
        <f t="shared" si="280"/>
      </c>
      <c r="AH276" s="251"/>
      <c r="AI276" s="142"/>
      <c r="AJ276" s="143"/>
      <c r="AK276" s="146"/>
      <c r="AL276" s="146"/>
      <c r="AM276" s="253"/>
      <c r="AN276" s="133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6" t="s">
        <v>479</v>
      </c>
      <c r="B277" s="137"/>
      <c r="C277" s="137"/>
      <c r="D277" s="137"/>
      <c r="E277" s="138"/>
      <c r="F277" s="104" t="s">
        <v>95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6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/>
      <c r="AF277" s="33">
        <f>VLOOKUP(ужин7,таб,123,FALSE)</f>
        <v>0</v>
      </c>
      <c r="AG277" s="87">
        <f>VLOOKUP(ужин8,таб,123,FALSE)</f>
        <v>0</v>
      </c>
      <c r="AH277" s="250"/>
      <c r="AI277" s="142">
        <f>AK277/сред</f>
        <v>0</v>
      </c>
      <c r="AJ277" s="143"/>
      <c r="AK277" s="146">
        <f>SUM(G278:AG278)</f>
        <v>0</v>
      </c>
      <c r="AL277" s="146"/>
      <c r="AM277" s="252">
        <f>IF(AK277=0,0,Таблиця!DT267)</f>
        <v>0</v>
      </c>
      <c r="AN277" s="132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9"/>
      <c r="B278" s="140"/>
      <c r="C278" s="140"/>
      <c r="D278" s="140"/>
      <c r="E278" s="141"/>
      <c r="F278" s="105" t="s">
        <v>96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>
        <f t="shared" si="281"/>
      </c>
      <c r="L278" s="122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/>
      <c r="AF278" s="23">
        <f t="shared" si="281"/>
      </c>
      <c r="AG278" s="83">
        <f t="shared" si="281"/>
      </c>
      <c r="AH278" s="251"/>
      <c r="AI278" s="142"/>
      <c r="AJ278" s="143"/>
      <c r="AK278" s="146"/>
      <c r="AL278" s="146"/>
      <c r="AM278" s="253"/>
      <c r="AN278" s="133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6" t="s">
        <v>480</v>
      </c>
      <c r="B279" s="137"/>
      <c r="C279" s="137"/>
      <c r="D279" s="137"/>
      <c r="E279" s="138"/>
      <c r="F279" s="104" t="s">
        <v>95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6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/>
      <c r="AF279" s="33">
        <f>VLOOKUP(ужин7,таб,124,FALSE)</f>
        <v>0</v>
      </c>
      <c r="AG279" s="87">
        <f>VLOOKUP(ужин8,таб,124,FALSE)</f>
        <v>0</v>
      </c>
      <c r="AH279" s="250"/>
      <c r="AI279" s="142">
        <f>AK279/сред</f>
        <v>0</v>
      </c>
      <c r="AJ279" s="143"/>
      <c r="AK279" s="146">
        <f>SUM(G280:AG280)</f>
        <v>0</v>
      </c>
      <c r="AL279" s="146"/>
      <c r="AM279" s="252">
        <f>IF(AK279=0,0,Таблиця!DU267)</f>
        <v>0</v>
      </c>
      <c r="AN279" s="132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9"/>
      <c r="B280" s="140"/>
      <c r="C280" s="140"/>
      <c r="D280" s="140"/>
      <c r="E280" s="141"/>
      <c r="F280" s="105" t="s">
        <v>96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>
        <f t="shared" si="282"/>
      </c>
      <c r="L280" s="122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/>
      <c r="AF280" s="23">
        <f t="shared" si="282"/>
      </c>
      <c r="AG280" s="83">
        <f t="shared" si="282"/>
      </c>
      <c r="AH280" s="251"/>
      <c r="AI280" s="142"/>
      <c r="AJ280" s="143"/>
      <c r="AK280" s="146"/>
      <c r="AL280" s="146"/>
      <c r="AM280" s="253"/>
      <c r="AN280" s="133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6" t="s">
        <v>481</v>
      </c>
      <c r="B281" s="137"/>
      <c r="C281" s="137"/>
      <c r="D281" s="137"/>
      <c r="E281" s="138"/>
      <c r="F281" s="104" t="s">
        <v>95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6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/>
      <c r="AF281" s="33">
        <f>VLOOKUP(ужин7,таб,125,FALSE)</f>
        <v>0</v>
      </c>
      <c r="AG281" s="87">
        <f>VLOOKUP(ужин8,таб,125,FALSE)</f>
        <v>0</v>
      </c>
      <c r="AH281" s="250"/>
      <c r="AI281" s="142">
        <f>AK281/сред</f>
        <v>0</v>
      </c>
      <c r="AJ281" s="143"/>
      <c r="AK281" s="146">
        <f>SUM(G282:AG282)</f>
        <v>0</v>
      </c>
      <c r="AL281" s="146"/>
      <c r="AM281" s="252">
        <f>IF(AK281=0,0,Таблиця!DV267)</f>
        <v>0</v>
      </c>
      <c r="AN281" s="132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9"/>
      <c r="B282" s="140"/>
      <c r="C282" s="140"/>
      <c r="D282" s="140"/>
      <c r="E282" s="141"/>
      <c r="F282" s="105" t="s">
        <v>96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>
        <f t="shared" si="283"/>
      </c>
      <c r="L282" s="122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/>
      <c r="AF282" s="23">
        <f t="shared" si="283"/>
      </c>
      <c r="AG282" s="83">
        <f t="shared" si="283"/>
      </c>
      <c r="AH282" s="251"/>
      <c r="AI282" s="142"/>
      <c r="AJ282" s="143"/>
      <c r="AK282" s="146"/>
      <c r="AL282" s="146"/>
      <c r="AM282" s="253"/>
      <c r="AN282" s="133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6" t="s">
        <v>482</v>
      </c>
      <c r="B283" s="137"/>
      <c r="C283" s="137"/>
      <c r="D283" s="137"/>
      <c r="E283" s="138"/>
      <c r="F283" s="104" t="s">
        <v>95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6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/>
      <c r="AF283" s="33">
        <f>VLOOKUP(ужин7,таб,126,FALSE)</f>
        <v>0</v>
      </c>
      <c r="AG283" s="87">
        <f>VLOOKUP(ужин8,таб,126,FALSE)</f>
        <v>0</v>
      </c>
      <c r="AH283" s="250"/>
      <c r="AI283" s="142">
        <f>AK283/сред</f>
        <v>0</v>
      </c>
      <c r="AJ283" s="143"/>
      <c r="AK283" s="146">
        <f>SUM(G284:AG284)</f>
        <v>0</v>
      </c>
      <c r="AL283" s="146"/>
      <c r="AM283" s="252">
        <f>IF(AK283=0,0,Таблиця!DW267)</f>
        <v>0</v>
      </c>
      <c r="AN283" s="132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9"/>
      <c r="B284" s="140"/>
      <c r="C284" s="140"/>
      <c r="D284" s="140"/>
      <c r="E284" s="141"/>
      <c r="F284" s="105" t="s">
        <v>96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>
        <f t="shared" si="284"/>
      </c>
      <c r="L284" s="122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/>
      <c r="AF284" s="23">
        <f t="shared" si="284"/>
      </c>
      <c r="AG284" s="83">
        <f t="shared" si="284"/>
      </c>
      <c r="AH284" s="251"/>
      <c r="AI284" s="142"/>
      <c r="AJ284" s="143"/>
      <c r="AK284" s="146"/>
      <c r="AL284" s="146"/>
      <c r="AM284" s="253"/>
      <c r="AN284" s="133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6" t="s">
        <v>483</v>
      </c>
      <c r="B285" s="137"/>
      <c r="C285" s="137"/>
      <c r="D285" s="137"/>
      <c r="E285" s="138"/>
      <c r="F285" s="104" t="s">
        <v>95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6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/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/>
      <c r="AF285" s="33">
        <f>VLOOKUP(ужин7,таб,89,FALSE)</f>
        <v>0</v>
      </c>
      <c r="AG285" s="87">
        <f>VLOOKUP(ужин8,таб,89,FALSE)</f>
        <v>0</v>
      </c>
      <c r="AH285" s="250"/>
      <c r="AI285" s="142">
        <f>AK285/сред</f>
        <v>0</v>
      </c>
      <c r="AJ285" s="143"/>
      <c r="AK285" s="146">
        <f>SUM(G286:AG286)</f>
        <v>0</v>
      </c>
      <c r="AL285" s="146"/>
      <c r="AM285" s="252">
        <f>IF(AK285=0,0,Таблиця!CL267)</f>
        <v>0</v>
      </c>
      <c r="AN285" s="132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9"/>
      <c r="B286" s="140"/>
      <c r="C286" s="140"/>
      <c r="D286" s="140"/>
      <c r="E286" s="141"/>
      <c r="F286" s="105" t="s">
        <v>96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>
        <f t="shared" si="285"/>
      </c>
      <c r="L286" s="122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/>
      <c r="AF286" s="23">
        <f t="shared" si="285"/>
      </c>
      <c r="AG286" s="83">
        <f t="shared" si="285"/>
      </c>
      <c r="AH286" s="251"/>
      <c r="AI286" s="142"/>
      <c r="AJ286" s="143"/>
      <c r="AK286" s="146"/>
      <c r="AL286" s="146"/>
      <c r="AM286" s="253"/>
      <c r="AN286" s="133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6" t="s">
        <v>484</v>
      </c>
      <c r="B287" s="137"/>
      <c r="C287" s="137"/>
      <c r="D287" s="137"/>
      <c r="E287" s="138"/>
      <c r="F287" s="104" t="s">
        <v>95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6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/>
      <c r="AF287" s="33">
        <f>VLOOKUP(ужин7,таб,52,FALSE)</f>
        <v>0</v>
      </c>
      <c r="AG287" s="87">
        <f>VLOOKUP(ужин8,таб,52,FALSE)</f>
        <v>0</v>
      </c>
      <c r="AH287" s="250"/>
      <c r="AI287" s="142">
        <f>AK287/сред</f>
        <v>0</v>
      </c>
      <c r="AJ287" s="143"/>
      <c r="AK287" s="146">
        <f>SUM(G288:AG288)</f>
        <v>0</v>
      </c>
      <c r="AL287" s="146"/>
      <c r="AM287" s="252">
        <f>IF(AK287=0,0,Таблиця!BA267)</f>
        <v>0</v>
      </c>
      <c r="AN287" s="132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9"/>
      <c r="B288" s="140"/>
      <c r="C288" s="140"/>
      <c r="D288" s="140"/>
      <c r="E288" s="141"/>
      <c r="F288" s="105" t="s">
        <v>96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>
        <f t="shared" si="286"/>
      </c>
      <c r="L288" s="122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/>
      <c r="AF288" s="23">
        <f t="shared" si="286"/>
      </c>
      <c r="AG288" s="83">
        <f t="shared" si="286"/>
      </c>
      <c r="AH288" s="251"/>
      <c r="AI288" s="142"/>
      <c r="AJ288" s="143"/>
      <c r="AK288" s="146"/>
      <c r="AL288" s="146"/>
      <c r="AM288" s="253"/>
      <c r="AN288" s="133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6" t="s">
        <v>545</v>
      </c>
      <c r="B289" s="137"/>
      <c r="C289" s="137"/>
      <c r="D289" s="137"/>
      <c r="E289" s="138"/>
      <c r="F289" s="104" t="s">
        <v>95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6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>
        <f>VLOOKUP(обед4,таб,145,FALSE)</f>
        <v>0</v>
      </c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/>
      <c r="AF289" s="33">
        <f>VLOOKUP(ужин7,таб,145,FALSE)</f>
        <v>0</v>
      </c>
      <c r="AG289" s="87">
        <f>VLOOKUP(ужин8,таб,145,FALSE)</f>
        <v>0</v>
      </c>
      <c r="AH289" s="250"/>
      <c r="AI289" s="142">
        <f>AK289/сред</f>
        <v>0</v>
      </c>
      <c r="AJ289" s="143"/>
      <c r="AK289" s="146">
        <f>SUM(G290:AG290)</f>
        <v>0</v>
      </c>
      <c r="AL289" s="146"/>
      <c r="AM289" s="252">
        <f>IF(AK289=0,0,Таблиця!BT381)</f>
        <v>0</v>
      </c>
      <c r="AN289" s="132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39"/>
      <c r="B290" s="140"/>
      <c r="C290" s="140"/>
      <c r="D290" s="140"/>
      <c r="E290" s="141"/>
      <c r="F290" s="105" t="s">
        <v>96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>
        <f t="shared" si="287"/>
      </c>
      <c r="L290" s="122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/>
      <c r="AF290" s="23">
        <f t="shared" si="287"/>
      </c>
      <c r="AG290" s="83">
        <f t="shared" si="287"/>
      </c>
      <c r="AH290" s="251"/>
      <c r="AI290" s="142"/>
      <c r="AJ290" s="143"/>
      <c r="AK290" s="146"/>
      <c r="AL290" s="146"/>
      <c r="AM290" s="253"/>
      <c r="AN290" s="133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6" t="s">
        <v>546</v>
      </c>
      <c r="B291" s="137"/>
      <c r="C291" s="137"/>
      <c r="D291" s="137"/>
      <c r="E291" s="138"/>
      <c r="F291" s="104" t="s">
        <v>95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6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>
        <f>VLOOKUP(обед4,таб,146,FALSE)</f>
        <v>0</v>
      </c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/>
      <c r="AF291" s="33">
        <f>VLOOKUP(ужин7,таб,146,FALSE)</f>
        <v>0</v>
      </c>
      <c r="AG291" s="87">
        <f>VLOOKUP(ужин8,таб,146,FALSE)</f>
        <v>0</v>
      </c>
      <c r="AH291" s="250"/>
      <c r="AI291" s="142">
        <f>AK291/сред</f>
        <v>0</v>
      </c>
      <c r="AJ291" s="143"/>
      <c r="AK291" s="146">
        <f>SUM(G292:AG292)</f>
        <v>0</v>
      </c>
      <c r="AL291" s="146"/>
      <c r="AM291" s="252">
        <f>IF(AK291=0,0,Таблиця!BT383)</f>
        <v>0</v>
      </c>
      <c r="AN291" s="132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39"/>
      <c r="B292" s="140"/>
      <c r="C292" s="140"/>
      <c r="D292" s="140"/>
      <c r="E292" s="141"/>
      <c r="F292" s="105" t="s">
        <v>96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>
        <f t="shared" si="288"/>
      </c>
      <c r="L292" s="122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/>
      <c r="AF292" s="23">
        <f t="shared" si="288"/>
      </c>
      <c r="AG292" s="83">
        <f t="shared" si="288"/>
      </c>
      <c r="AH292" s="251"/>
      <c r="AI292" s="142"/>
      <c r="AJ292" s="143"/>
      <c r="AK292" s="146"/>
      <c r="AL292" s="146"/>
      <c r="AM292" s="253"/>
      <c r="AN292" s="133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6" t="s">
        <v>568</v>
      </c>
      <c r="B293" s="137"/>
      <c r="C293" s="137"/>
      <c r="D293" s="137"/>
      <c r="E293" s="138"/>
      <c r="F293" s="104" t="s">
        <v>95</v>
      </c>
      <c r="G293" s="71">
        <v>1.5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6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v>1.5</v>
      </c>
      <c r="P293" s="33">
        <f>VLOOKUP(обед2,таб,147,FALSE)</f>
        <v>0</v>
      </c>
      <c r="Q293" s="33">
        <f>VLOOKUP(обед3,таб,147,FALSE)</f>
        <v>0</v>
      </c>
      <c r="R293" s="33">
        <f>VLOOKUP(обед4,таб,147,FALSE)</f>
        <v>0</v>
      </c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v>1.5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/>
      <c r="AF293" s="33">
        <f>VLOOKUP(ужин7,таб,147,FALSE)</f>
        <v>0</v>
      </c>
      <c r="AG293" s="87">
        <f>VLOOKUP(ужин8,таб,147,FALSE)</f>
        <v>0</v>
      </c>
      <c r="AH293" s="250"/>
      <c r="AI293" s="142">
        <f>AK293/сред</f>
        <v>0.004909090909090908</v>
      </c>
      <c r="AJ293" s="143"/>
      <c r="AK293" s="146">
        <f>SUM(G294:AG294)</f>
        <v>0.10799999999999998</v>
      </c>
      <c r="AL293" s="146"/>
      <c r="AM293" s="252">
        <v>10.24</v>
      </c>
      <c r="AN293" s="132">
        <f>AK293*AM293</f>
        <v>1.1059199999999998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39"/>
      <c r="B294" s="140"/>
      <c r="C294" s="140"/>
      <c r="D294" s="140"/>
      <c r="E294" s="141"/>
      <c r="F294" s="105" t="s">
        <v>96</v>
      </c>
      <c r="G294" s="75">
        <f aca="true" t="shared" si="289" ref="G294:AG294">IF(G293=0,"",завтракл*G293/1000)</f>
        <v>0.036</v>
      </c>
      <c r="H294" s="23">
        <f t="shared" si="289"/>
      </c>
      <c r="I294" s="23">
        <f t="shared" si="289"/>
      </c>
      <c r="J294" s="23">
        <f t="shared" si="289"/>
      </c>
      <c r="K294" s="23">
        <f t="shared" si="289"/>
      </c>
      <c r="L294" s="122">
        <f t="shared" si="289"/>
      </c>
      <c r="M294" s="75">
        <f t="shared" si="289"/>
      </c>
      <c r="N294" s="83">
        <f t="shared" si="289"/>
      </c>
      <c r="O294" s="75">
        <f t="shared" si="289"/>
        <v>0.036</v>
      </c>
      <c r="P294" s="23">
        <f t="shared" si="289"/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  <v>0.036</v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/>
      <c r="AF294" s="23">
        <f t="shared" si="289"/>
      </c>
      <c r="AG294" s="83">
        <f t="shared" si="289"/>
      </c>
      <c r="AH294" s="251"/>
      <c r="AI294" s="142"/>
      <c r="AJ294" s="143"/>
      <c r="AK294" s="146"/>
      <c r="AL294" s="146"/>
      <c r="AM294" s="253"/>
      <c r="AN294" s="133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6"/>
      <c r="B295" s="137"/>
      <c r="C295" s="137"/>
      <c r="D295" s="137"/>
      <c r="E295" s="138"/>
      <c r="F295" s="104" t="s">
        <v>95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6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>
        <f>VLOOKUP(обед4,таб,148,FALSE)</f>
        <v>0</v>
      </c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/>
      <c r="AF295" s="33">
        <f>VLOOKUP(ужин7,таб,148,FALSE)</f>
        <v>0</v>
      </c>
      <c r="AG295" s="87">
        <f>VLOOKUP(ужин8,таб,148,FALSE)</f>
        <v>0</v>
      </c>
      <c r="AH295" s="250"/>
      <c r="AI295" s="142">
        <f>AK295/сред</f>
        <v>0</v>
      </c>
      <c r="AJ295" s="143"/>
      <c r="AK295" s="146">
        <f>SUM(G296:AG296)</f>
        <v>0</v>
      </c>
      <c r="AL295" s="146"/>
      <c r="AM295" s="252">
        <f>IF(AK295=0,0,Таблиця!BT387)</f>
        <v>0</v>
      </c>
      <c r="AN295" s="132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39"/>
      <c r="B296" s="140"/>
      <c r="C296" s="140"/>
      <c r="D296" s="140"/>
      <c r="E296" s="141"/>
      <c r="F296" s="105" t="s">
        <v>96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>
        <f t="shared" si="290"/>
      </c>
      <c r="L296" s="122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/>
      <c r="AF296" s="23">
        <f t="shared" si="290"/>
      </c>
      <c r="AG296" s="83">
        <f t="shared" si="290"/>
      </c>
      <c r="AH296" s="251"/>
      <c r="AI296" s="142"/>
      <c r="AJ296" s="143"/>
      <c r="AK296" s="146"/>
      <c r="AL296" s="146"/>
      <c r="AM296" s="253"/>
      <c r="AN296" s="133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6"/>
      <c r="B297" s="137"/>
      <c r="C297" s="137"/>
      <c r="D297" s="137"/>
      <c r="E297" s="138"/>
      <c r="F297" s="104" t="s">
        <v>95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6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>
        <f>VLOOKUP(обед4,таб,149,FALSE)</f>
        <v>0</v>
      </c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/>
      <c r="AF297" s="33">
        <f>VLOOKUP(ужин7,таб,149,FALSE)</f>
        <v>0</v>
      </c>
      <c r="AG297" s="87">
        <f>VLOOKUP(ужин8,таб,149,FALSE)</f>
        <v>0</v>
      </c>
      <c r="AH297" s="250"/>
      <c r="AI297" s="142">
        <f>AK297/сред</f>
        <v>0</v>
      </c>
      <c r="AJ297" s="143"/>
      <c r="AK297" s="146">
        <f>SUM(G298:AG298)</f>
        <v>0</v>
      </c>
      <c r="AL297" s="146"/>
      <c r="AM297" s="252">
        <f>IF(AK297=0,0,Таблиця!BT389)</f>
        <v>0</v>
      </c>
      <c r="AN297" s="132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39"/>
      <c r="B298" s="140"/>
      <c r="C298" s="140"/>
      <c r="D298" s="140"/>
      <c r="E298" s="141"/>
      <c r="F298" s="105" t="s">
        <v>96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>
        <f t="shared" si="291"/>
      </c>
      <c r="L298" s="122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/>
      <c r="AF298" s="23">
        <f t="shared" si="291"/>
      </c>
      <c r="AG298" s="83">
        <f t="shared" si="291"/>
      </c>
      <c r="AH298" s="251"/>
      <c r="AI298" s="142"/>
      <c r="AJ298" s="143"/>
      <c r="AK298" s="146"/>
      <c r="AL298" s="146"/>
      <c r="AM298" s="253"/>
      <c r="AN298" s="133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6"/>
      <c r="B299" s="137"/>
      <c r="C299" s="137"/>
      <c r="D299" s="137"/>
      <c r="E299" s="138"/>
      <c r="F299" s="104" t="s">
        <v>95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6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>
        <f>VLOOKUP(обед4,таб,150,FALSE)</f>
        <v>0</v>
      </c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/>
      <c r="AF299" s="33">
        <f>VLOOKUP(ужин7,таб,150,FALSE)</f>
        <v>0</v>
      </c>
      <c r="AG299" s="87">
        <f>VLOOKUP(ужин8,таб,150,FALSE)</f>
        <v>0</v>
      </c>
      <c r="AH299" s="250"/>
      <c r="AI299" s="142">
        <f>AK299/сред</f>
        <v>0</v>
      </c>
      <c r="AJ299" s="143"/>
      <c r="AK299" s="146">
        <f>SUM(G300:AG300)</f>
        <v>0</v>
      </c>
      <c r="AL299" s="146"/>
      <c r="AM299" s="252">
        <f>IF(AK299=0,0,Таблиця!BT391)</f>
        <v>0</v>
      </c>
      <c r="AN299" s="132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9"/>
      <c r="B300" s="140"/>
      <c r="C300" s="140"/>
      <c r="D300" s="140"/>
      <c r="E300" s="141"/>
      <c r="F300" s="105" t="s">
        <v>96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>
        <f t="shared" si="292"/>
      </c>
      <c r="L300" s="122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/>
      <c r="AF300" s="23">
        <f t="shared" si="292"/>
      </c>
      <c r="AG300" s="83">
        <f t="shared" si="292"/>
      </c>
      <c r="AH300" s="251"/>
      <c r="AI300" s="142"/>
      <c r="AJ300" s="143"/>
      <c r="AK300" s="146"/>
      <c r="AL300" s="146"/>
      <c r="AM300" s="253"/>
      <c r="AN300" s="133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6"/>
      <c r="B301" s="137"/>
      <c r="C301" s="137"/>
      <c r="D301" s="137"/>
      <c r="E301" s="138"/>
      <c r="F301" s="104" t="s">
        <v>95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6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>
        <f>VLOOKUP(обед4,таб,151,FALSE)</f>
        <v>0</v>
      </c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/>
      <c r="AF301" s="33">
        <f>VLOOKUP(ужин7,таб,151,FALSE)</f>
        <v>0</v>
      </c>
      <c r="AG301" s="87">
        <f>VLOOKUP(ужин8,таб,151,FALSE)</f>
        <v>0</v>
      </c>
      <c r="AH301" s="250"/>
      <c r="AI301" s="142">
        <f>AK301/сред</f>
        <v>0</v>
      </c>
      <c r="AJ301" s="143"/>
      <c r="AK301" s="146">
        <f>SUM(G302:AG302)</f>
        <v>0</v>
      </c>
      <c r="AL301" s="146"/>
      <c r="AM301" s="252">
        <f>IF(AK301=0,0,Таблиця!BT393)</f>
        <v>0</v>
      </c>
      <c r="AN301" s="132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9"/>
      <c r="B302" s="140"/>
      <c r="C302" s="140"/>
      <c r="D302" s="140"/>
      <c r="E302" s="141"/>
      <c r="F302" s="105" t="s">
        <v>96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>
        <f t="shared" si="293"/>
      </c>
      <c r="L302" s="122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/>
      <c r="AF302" s="23">
        <f t="shared" si="293"/>
      </c>
      <c r="AG302" s="83">
        <f t="shared" si="293"/>
      </c>
      <c r="AH302" s="251"/>
      <c r="AI302" s="142"/>
      <c r="AJ302" s="143"/>
      <c r="AK302" s="146"/>
      <c r="AL302" s="146"/>
      <c r="AM302" s="253"/>
      <c r="AN302" s="133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6"/>
      <c r="B303" s="137"/>
      <c r="C303" s="137"/>
      <c r="D303" s="137"/>
      <c r="E303" s="138"/>
      <c r="F303" s="104" t="s">
        <v>95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6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>
        <f>VLOOKUP(обед4,таб,152,FALSE)</f>
        <v>0</v>
      </c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/>
      <c r="AF303" s="33">
        <f>VLOOKUP(ужин7,таб,152,FALSE)</f>
        <v>0</v>
      </c>
      <c r="AG303" s="87">
        <f>VLOOKUP(ужин8,таб,152,FALSE)</f>
        <v>0</v>
      </c>
      <c r="AH303" s="250"/>
      <c r="AI303" s="142">
        <f>AK303/сред</f>
        <v>0</v>
      </c>
      <c r="AJ303" s="143"/>
      <c r="AK303" s="146">
        <f>SUM(G304:AG304)</f>
        <v>0</v>
      </c>
      <c r="AL303" s="146"/>
      <c r="AM303" s="252">
        <f>IF(AK303=0,0,Таблиця!BT395)</f>
        <v>0</v>
      </c>
      <c r="AN303" s="132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9"/>
      <c r="B304" s="140"/>
      <c r="C304" s="140"/>
      <c r="D304" s="140"/>
      <c r="E304" s="141"/>
      <c r="F304" s="105" t="s">
        <v>96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>
        <f t="shared" si="294"/>
      </c>
      <c r="L304" s="122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/>
      <c r="AF304" s="23">
        <f t="shared" si="294"/>
      </c>
      <c r="AG304" s="83">
        <f t="shared" si="294"/>
      </c>
      <c r="AH304" s="251"/>
      <c r="AI304" s="142"/>
      <c r="AJ304" s="143"/>
      <c r="AK304" s="146"/>
      <c r="AL304" s="146"/>
      <c r="AM304" s="253"/>
      <c r="AN304" s="133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6"/>
      <c r="B305" s="137"/>
      <c r="C305" s="137"/>
      <c r="D305" s="137"/>
      <c r="E305" s="138"/>
      <c r="F305" s="104" t="s">
        <v>95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6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>
        <f>VLOOKUP(обед4,таб,153,FALSE)</f>
        <v>0</v>
      </c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/>
      <c r="AF305" s="33">
        <f>VLOOKUP(ужин7,таб,153,FALSE)</f>
        <v>0</v>
      </c>
      <c r="AG305" s="87">
        <f>VLOOKUP(ужин8,таб,153,FALSE)</f>
        <v>0</v>
      </c>
      <c r="AH305" s="250"/>
      <c r="AI305" s="142">
        <f>AK305/сред</f>
        <v>0</v>
      </c>
      <c r="AJ305" s="143"/>
      <c r="AK305" s="146">
        <f>SUM(G306:AG306)</f>
        <v>0</v>
      </c>
      <c r="AL305" s="146"/>
      <c r="AM305" s="252">
        <f>IF(AK305=0,0,Таблиця!BT397)</f>
        <v>0</v>
      </c>
      <c r="AN305" s="132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9"/>
      <c r="B306" s="140"/>
      <c r="C306" s="140"/>
      <c r="D306" s="140"/>
      <c r="E306" s="141"/>
      <c r="F306" s="105" t="s">
        <v>96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>
        <f t="shared" si="295"/>
      </c>
      <c r="L306" s="122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/>
      <c r="AF306" s="23">
        <f t="shared" si="295"/>
      </c>
      <c r="AG306" s="83">
        <f t="shared" si="295"/>
      </c>
      <c r="AH306" s="251"/>
      <c r="AI306" s="142"/>
      <c r="AJ306" s="143"/>
      <c r="AK306" s="146"/>
      <c r="AL306" s="146"/>
      <c r="AM306" s="253"/>
      <c r="AN306" s="133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6"/>
      <c r="B307" s="137"/>
      <c r="C307" s="137"/>
      <c r="D307" s="137"/>
      <c r="E307" s="138"/>
      <c r="F307" s="104" t="s">
        <v>95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6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>
        <f>VLOOKUP(обед4,таб,154,FALSE)</f>
        <v>0</v>
      </c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/>
      <c r="AF307" s="33">
        <f>VLOOKUP(ужин7,таб,154,FALSE)</f>
        <v>0</v>
      </c>
      <c r="AG307" s="87">
        <f>VLOOKUP(ужин8,таб,154,FALSE)</f>
        <v>0</v>
      </c>
      <c r="AH307" s="250"/>
      <c r="AI307" s="142">
        <f>AK307/сред</f>
        <v>0</v>
      </c>
      <c r="AJ307" s="143"/>
      <c r="AK307" s="146">
        <f>SUM(G308:AG308)</f>
        <v>0</v>
      </c>
      <c r="AL307" s="146"/>
      <c r="AM307" s="252">
        <f>IF(AK307=0,0,Таблиця!BT399)</f>
        <v>0</v>
      </c>
      <c r="AN307" s="132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9"/>
      <c r="B308" s="140"/>
      <c r="C308" s="140"/>
      <c r="D308" s="140"/>
      <c r="E308" s="141"/>
      <c r="F308" s="105" t="s">
        <v>96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>
        <f t="shared" si="296"/>
      </c>
      <c r="L308" s="122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/>
      <c r="AF308" s="23">
        <f t="shared" si="296"/>
      </c>
      <c r="AG308" s="83">
        <f t="shared" si="296"/>
      </c>
      <c r="AH308" s="251"/>
      <c r="AI308" s="142"/>
      <c r="AJ308" s="143"/>
      <c r="AK308" s="146"/>
      <c r="AL308" s="146"/>
      <c r="AM308" s="253"/>
      <c r="AN308" s="133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6"/>
      <c r="B309" s="137"/>
      <c r="C309" s="137"/>
      <c r="D309" s="137"/>
      <c r="E309" s="138"/>
      <c r="F309" s="104" t="s">
        <v>95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6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>
        <f>VLOOKUP(обед4,таб,155,FALSE)</f>
        <v>0</v>
      </c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/>
      <c r="AF309" s="33">
        <f>VLOOKUP(ужин7,таб,155,FALSE)</f>
        <v>0</v>
      </c>
      <c r="AG309" s="87">
        <f>VLOOKUP(ужин8,таб,155,FALSE)</f>
        <v>0</v>
      </c>
      <c r="AH309" s="250"/>
      <c r="AI309" s="142">
        <f>AK309/сред</f>
        <v>0</v>
      </c>
      <c r="AJ309" s="143"/>
      <c r="AK309" s="146">
        <f>SUM(G310:AG310)</f>
        <v>0</v>
      </c>
      <c r="AL309" s="146"/>
      <c r="AM309" s="252">
        <f>IF(AK309=0,0,Таблиця!BT401)</f>
        <v>0</v>
      </c>
      <c r="AN309" s="132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9"/>
      <c r="B310" s="140"/>
      <c r="C310" s="140"/>
      <c r="D310" s="140"/>
      <c r="E310" s="141"/>
      <c r="F310" s="105" t="s">
        <v>96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>
        <f t="shared" si="297"/>
      </c>
      <c r="L310" s="122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/>
      <c r="AF310" s="23">
        <f t="shared" si="297"/>
      </c>
      <c r="AG310" s="83">
        <f t="shared" si="297"/>
      </c>
      <c r="AH310" s="251"/>
      <c r="AI310" s="142"/>
      <c r="AJ310" s="143"/>
      <c r="AK310" s="146"/>
      <c r="AL310" s="146"/>
      <c r="AM310" s="253"/>
      <c r="AN310" s="133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6"/>
      <c r="B311" s="137"/>
      <c r="C311" s="137"/>
      <c r="D311" s="137"/>
      <c r="E311" s="138"/>
      <c r="F311" s="104" t="s">
        <v>95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6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>
        <f>VLOOKUP(обед4,таб,156,FALSE)</f>
        <v>0</v>
      </c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/>
      <c r="AF311" s="33">
        <f>VLOOKUP(ужин7,таб,156,FALSE)</f>
        <v>0</v>
      </c>
      <c r="AG311" s="87">
        <f>VLOOKUP(ужин8,таб,156,FALSE)</f>
        <v>0</v>
      </c>
      <c r="AH311" s="250"/>
      <c r="AI311" s="142">
        <f>AK311/сред</f>
        <v>0</v>
      </c>
      <c r="AJ311" s="143"/>
      <c r="AK311" s="146">
        <f>SUM(G312:AG312)</f>
        <v>0</v>
      </c>
      <c r="AL311" s="146"/>
      <c r="AM311" s="252">
        <f>IF(AK311=0,0,Таблиця!BT403)</f>
        <v>0</v>
      </c>
      <c r="AN311" s="132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9"/>
      <c r="B312" s="140"/>
      <c r="C312" s="140"/>
      <c r="D312" s="140"/>
      <c r="E312" s="141"/>
      <c r="F312" s="105" t="s">
        <v>96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>
        <f t="shared" si="298"/>
      </c>
      <c r="L312" s="122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/>
      <c r="AF312" s="23">
        <f t="shared" si="298"/>
      </c>
      <c r="AG312" s="83">
        <f t="shared" si="298"/>
      </c>
      <c r="AH312" s="251"/>
      <c r="AI312" s="142"/>
      <c r="AJ312" s="143"/>
      <c r="AK312" s="146"/>
      <c r="AL312" s="146"/>
      <c r="AM312" s="253"/>
      <c r="AN312" s="133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6"/>
      <c r="B313" s="137"/>
      <c r="C313" s="137"/>
      <c r="D313" s="137"/>
      <c r="E313" s="138"/>
      <c r="F313" s="104" t="s">
        <v>95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6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>
        <f>VLOOKUP(обед4,таб,157,FALSE)</f>
        <v>0</v>
      </c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/>
      <c r="AF313" s="33">
        <f>VLOOKUP(ужин7,таб,157,FALSE)</f>
        <v>0</v>
      </c>
      <c r="AG313" s="87">
        <f>VLOOKUP(ужин8,таб,157,FALSE)</f>
        <v>0</v>
      </c>
      <c r="AH313" s="250"/>
      <c r="AI313" s="142">
        <f>AK313/сред</f>
        <v>0</v>
      </c>
      <c r="AJ313" s="143"/>
      <c r="AK313" s="146">
        <f>SUM(G314:AG314)</f>
        <v>0</v>
      </c>
      <c r="AL313" s="146"/>
      <c r="AM313" s="252">
        <f>IF(AK313=0,0,Таблиця!BT405)</f>
        <v>0</v>
      </c>
      <c r="AN313" s="132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9"/>
      <c r="B314" s="140"/>
      <c r="C314" s="140"/>
      <c r="D314" s="140"/>
      <c r="E314" s="141"/>
      <c r="F314" s="105" t="s">
        <v>96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>
        <f t="shared" si="299"/>
      </c>
      <c r="L314" s="122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/>
      <c r="AF314" s="23">
        <f t="shared" si="299"/>
      </c>
      <c r="AG314" s="83">
        <f t="shared" si="299"/>
      </c>
      <c r="AH314" s="251"/>
      <c r="AI314" s="142"/>
      <c r="AJ314" s="143"/>
      <c r="AK314" s="146"/>
      <c r="AL314" s="146"/>
      <c r="AM314" s="253"/>
      <c r="AN314" s="133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6"/>
      <c r="B315" s="137"/>
      <c r="C315" s="137"/>
      <c r="D315" s="137"/>
      <c r="E315" s="138"/>
      <c r="F315" s="104" t="s">
        <v>95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6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>
        <f>VLOOKUP(обед4,таб,158,FALSE)</f>
        <v>0</v>
      </c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/>
      <c r="AF315" s="33">
        <f>VLOOKUP(ужин7,таб,158,FALSE)</f>
        <v>0</v>
      </c>
      <c r="AG315" s="87">
        <f>VLOOKUP(ужин8,таб,158,FALSE)</f>
        <v>0</v>
      </c>
      <c r="AH315" s="250"/>
      <c r="AI315" s="142">
        <f>AK315/сред</f>
        <v>0</v>
      </c>
      <c r="AJ315" s="143"/>
      <c r="AK315" s="146">
        <f>SUM(G316:AG316)</f>
        <v>0</v>
      </c>
      <c r="AL315" s="146"/>
      <c r="AM315" s="252">
        <f>IF(AK315=0,0,Таблиця!BT407)</f>
        <v>0</v>
      </c>
      <c r="AN315" s="132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9"/>
      <c r="B316" s="140"/>
      <c r="C316" s="140"/>
      <c r="D316" s="140"/>
      <c r="E316" s="141"/>
      <c r="F316" s="105" t="s">
        <v>96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>
        <f t="shared" si="300"/>
      </c>
      <c r="L316" s="122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/>
      <c r="AF316" s="23">
        <f t="shared" si="300"/>
      </c>
      <c r="AG316" s="83">
        <f t="shared" si="300"/>
      </c>
      <c r="AH316" s="251"/>
      <c r="AI316" s="142"/>
      <c r="AJ316" s="143"/>
      <c r="AK316" s="146"/>
      <c r="AL316" s="146"/>
      <c r="AM316" s="253"/>
      <c r="AN316" s="133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6"/>
      <c r="B317" s="137"/>
      <c r="C317" s="137"/>
      <c r="D317" s="137"/>
      <c r="E317" s="138"/>
      <c r="F317" s="104" t="s">
        <v>95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6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>
        <f>VLOOKUP(обед4,таб,159,FALSE)</f>
        <v>0</v>
      </c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/>
      <c r="AF317" s="33">
        <f>VLOOKUP(ужин7,таб,159,FALSE)</f>
        <v>0</v>
      </c>
      <c r="AG317" s="87">
        <f>VLOOKUP(ужин8,таб,159,FALSE)</f>
        <v>0</v>
      </c>
      <c r="AH317" s="250"/>
      <c r="AI317" s="142">
        <f>AK317/сред</f>
        <v>0</v>
      </c>
      <c r="AJ317" s="143"/>
      <c r="AK317" s="146">
        <f>SUM(G318:AG318)</f>
        <v>0</v>
      </c>
      <c r="AL317" s="146"/>
      <c r="AM317" s="252">
        <f>IF(AK317=0,0,Таблиця!BT409)</f>
        <v>0</v>
      </c>
      <c r="AN317" s="132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9"/>
      <c r="B318" s="140"/>
      <c r="C318" s="140"/>
      <c r="D318" s="140"/>
      <c r="E318" s="141"/>
      <c r="F318" s="105" t="s">
        <v>96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>
        <f t="shared" si="301"/>
      </c>
      <c r="L318" s="122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/>
      <c r="AF318" s="23">
        <f t="shared" si="301"/>
      </c>
      <c r="AG318" s="83">
        <f t="shared" si="301"/>
      </c>
      <c r="AH318" s="251"/>
      <c r="AI318" s="142"/>
      <c r="AJ318" s="143"/>
      <c r="AK318" s="146"/>
      <c r="AL318" s="146"/>
      <c r="AM318" s="253"/>
      <c r="AN318" s="133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6"/>
      <c r="B319" s="137"/>
      <c r="C319" s="137"/>
      <c r="D319" s="137"/>
      <c r="E319" s="138"/>
      <c r="F319" s="104" t="s">
        <v>95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6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>
        <f>VLOOKUP(обед4,таб,160,FALSE)</f>
        <v>0</v>
      </c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/>
      <c r="AF319" s="33">
        <f>VLOOKUP(ужин7,таб,160,FALSE)</f>
        <v>0</v>
      </c>
      <c r="AG319" s="87">
        <f>VLOOKUP(ужин8,таб,160,FALSE)</f>
        <v>0</v>
      </c>
      <c r="AH319" s="250"/>
      <c r="AI319" s="142">
        <f>AK319/сред</f>
        <v>0</v>
      </c>
      <c r="AJ319" s="143"/>
      <c r="AK319" s="146">
        <f>SUM(G320:AG320)</f>
        <v>0</v>
      </c>
      <c r="AL319" s="146"/>
      <c r="AM319" s="252">
        <f>IF(AK319=0,0,Таблиця!BT411)</f>
        <v>0</v>
      </c>
      <c r="AN319" s="132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9"/>
      <c r="B320" s="140"/>
      <c r="C320" s="140"/>
      <c r="D320" s="140"/>
      <c r="E320" s="141"/>
      <c r="F320" s="105" t="s">
        <v>96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>
        <f t="shared" si="302"/>
      </c>
      <c r="L320" s="122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/>
      <c r="AF320" s="23">
        <f t="shared" si="302"/>
      </c>
      <c r="AG320" s="83">
        <f t="shared" si="302"/>
      </c>
      <c r="AH320" s="251"/>
      <c r="AI320" s="142"/>
      <c r="AJ320" s="143"/>
      <c r="AK320" s="146"/>
      <c r="AL320" s="146"/>
      <c r="AM320" s="253"/>
      <c r="AN320" s="133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6"/>
      <c r="B321" s="137"/>
      <c r="C321" s="137"/>
      <c r="D321" s="137"/>
      <c r="E321" s="138"/>
      <c r="F321" s="104" t="s">
        <v>95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6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>
        <f>VLOOKUP(обед4,таб,161,FALSE)</f>
        <v>0</v>
      </c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/>
      <c r="AF321" s="33">
        <f>VLOOKUP(ужин7,таб,161,FALSE)</f>
        <v>0</v>
      </c>
      <c r="AG321" s="87">
        <f>VLOOKUP(ужин8,таб,161,FALSE)</f>
        <v>0</v>
      </c>
      <c r="AH321" s="250"/>
      <c r="AI321" s="142">
        <f>AK321/сред</f>
        <v>0</v>
      </c>
      <c r="AJ321" s="143"/>
      <c r="AK321" s="146">
        <f>SUM(G322:AG322)</f>
        <v>0</v>
      </c>
      <c r="AL321" s="146"/>
      <c r="AM321" s="252">
        <f>IF(AK321=0,0,Таблиця!BT413)</f>
        <v>0</v>
      </c>
      <c r="AN321" s="132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9"/>
      <c r="B322" s="140"/>
      <c r="C322" s="140"/>
      <c r="D322" s="140"/>
      <c r="E322" s="141"/>
      <c r="F322" s="105" t="s">
        <v>96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>
        <f t="shared" si="303"/>
      </c>
      <c r="L322" s="122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/>
      <c r="AF322" s="23">
        <f t="shared" si="303"/>
      </c>
      <c r="AG322" s="83">
        <f t="shared" si="303"/>
      </c>
      <c r="AH322" s="251"/>
      <c r="AI322" s="142"/>
      <c r="AJ322" s="143"/>
      <c r="AK322" s="146"/>
      <c r="AL322" s="146"/>
      <c r="AM322" s="253"/>
      <c r="AN322" s="133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6"/>
      <c r="B323" s="137"/>
      <c r="C323" s="137"/>
      <c r="D323" s="137"/>
      <c r="E323" s="138"/>
      <c r="F323" s="104" t="s">
        <v>95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6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>
        <f>VLOOKUP(обед4,таб,162,FALSE)</f>
        <v>0</v>
      </c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/>
      <c r="AF323" s="33">
        <f>VLOOKUP(ужин7,таб,162,FALSE)</f>
        <v>0</v>
      </c>
      <c r="AG323" s="87">
        <f>VLOOKUP(ужин8,таб,162,FALSE)</f>
        <v>0</v>
      </c>
      <c r="AH323" s="250"/>
      <c r="AI323" s="142">
        <f>AK323/сред</f>
        <v>0</v>
      </c>
      <c r="AJ323" s="143"/>
      <c r="AK323" s="146">
        <f>SUM(G324:AG324)</f>
        <v>0</v>
      </c>
      <c r="AL323" s="146"/>
      <c r="AM323" s="252">
        <f>IF(AK323=0,0,Таблиця!BT415)</f>
        <v>0</v>
      </c>
      <c r="AN323" s="132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9"/>
      <c r="B324" s="140"/>
      <c r="C324" s="140"/>
      <c r="D324" s="140"/>
      <c r="E324" s="141"/>
      <c r="F324" s="105" t="s">
        <v>96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>
        <f t="shared" si="304"/>
      </c>
      <c r="L324" s="122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/>
      <c r="AF324" s="23">
        <f t="shared" si="304"/>
      </c>
      <c r="AG324" s="83">
        <f t="shared" si="304"/>
      </c>
      <c r="AH324" s="251"/>
      <c r="AI324" s="142"/>
      <c r="AJ324" s="143"/>
      <c r="AK324" s="146"/>
      <c r="AL324" s="146"/>
      <c r="AM324" s="253"/>
      <c r="AN324" s="133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6"/>
      <c r="B325" s="137"/>
      <c r="C325" s="137"/>
      <c r="D325" s="137"/>
      <c r="E325" s="138"/>
      <c r="F325" s="104" t="s">
        <v>95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6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>
        <f>VLOOKUP(обед4,таб,163,FALSE)</f>
        <v>0</v>
      </c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/>
      <c r="AF325" s="33">
        <f>VLOOKUP(ужин7,таб,163,FALSE)</f>
        <v>0</v>
      </c>
      <c r="AG325" s="87">
        <f>VLOOKUP(ужин8,таб,163,FALSE)</f>
        <v>0</v>
      </c>
      <c r="AH325" s="250"/>
      <c r="AI325" s="142">
        <f>AK325/сред</f>
        <v>0</v>
      </c>
      <c r="AJ325" s="143"/>
      <c r="AK325" s="146">
        <f>SUM(G326:AG326)</f>
        <v>0</v>
      </c>
      <c r="AL325" s="146"/>
      <c r="AM325" s="252">
        <f>IF(AK325=0,0,Таблиця!BT417)</f>
        <v>0</v>
      </c>
      <c r="AN325" s="132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9"/>
      <c r="B326" s="140"/>
      <c r="C326" s="140"/>
      <c r="D326" s="140"/>
      <c r="E326" s="141"/>
      <c r="F326" s="105" t="s">
        <v>96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>
        <f t="shared" si="305"/>
      </c>
      <c r="L326" s="122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/>
      <c r="AF326" s="23">
        <f t="shared" si="305"/>
      </c>
      <c r="AG326" s="83">
        <f t="shared" si="305"/>
      </c>
      <c r="AH326" s="251"/>
      <c r="AI326" s="142"/>
      <c r="AJ326" s="143"/>
      <c r="AK326" s="146"/>
      <c r="AL326" s="146"/>
      <c r="AM326" s="253"/>
      <c r="AN326" s="133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6"/>
      <c r="B327" s="137"/>
      <c r="C327" s="137"/>
      <c r="D327" s="137"/>
      <c r="E327" s="138"/>
      <c r="F327" s="104" t="s">
        <v>95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6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>
        <f>VLOOKUP(обед4,таб,164,FALSE)</f>
        <v>0</v>
      </c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/>
      <c r="AF327" s="33">
        <f>VLOOKUP(ужин7,таб,164,FALSE)</f>
        <v>0</v>
      </c>
      <c r="AG327" s="87">
        <f>VLOOKUP(ужин8,таб,164,FALSE)</f>
        <v>0</v>
      </c>
      <c r="AH327" s="250"/>
      <c r="AI327" s="142">
        <f>AK327/сред</f>
        <v>0</v>
      </c>
      <c r="AJ327" s="143"/>
      <c r="AK327" s="146">
        <f>SUM(G328:AG328)</f>
        <v>0</v>
      </c>
      <c r="AL327" s="146"/>
      <c r="AM327" s="252">
        <f>IF(AK327=0,0,Таблиця!BT419)</f>
        <v>0</v>
      </c>
      <c r="AN327" s="132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9"/>
      <c r="B328" s="140"/>
      <c r="C328" s="140"/>
      <c r="D328" s="140"/>
      <c r="E328" s="141"/>
      <c r="F328" s="105" t="s">
        <v>96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>
        <f t="shared" si="306"/>
      </c>
      <c r="L328" s="122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/>
      <c r="AF328" s="23">
        <f t="shared" si="306"/>
      </c>
      <c r="AG328" s="83">
        <f t="shared" si="306"/>
      </c>
      <c r="AH328" s="251"/>
      <c r="AI328" s="142"/>
      <c r="AJ328" s="143"/>
      <c r="AK328" s="146"/>
      <c r="AL328" s="146"/>
      <c r="AM328" s="253"/>
      <c r="AN328" s="133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6"/>
      <c r="B329" s="137"/>
      <c r="C329" s="137"/>
      <c r="D329" s="137"/>
      <c r="E329" s="138"/>
      <c r="F329" s="104" t="s">
        <v>95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6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>
        <f>VLOOKUP(обед4,таб,165,FALSE)</f>
        <v>0</v>
      </c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/>
      <c r="AF329" s="33">
        <f>VLOOKUP(ужин7,таб,165,FALSE)</f>
        <v>0</v>
      </c>
      <c r="AG329" s="87">
        <f>VLOOKUP(ужин8,таб,165,FALSE)</f>
        <v>0</v>
      </c>
      <c r="AH329" s="250"/>
      <c r="AI329" s="142">
        <f>AK329/сред</f>
        <v>0</v>
      </c>
      <c r="AJ329" s="143"/>
      <c r="AK329" s="146">
        <f>SUM(G330:AG330)</f>
        <v>0</v>
      </c>
      <c r="AL329" s="146"/>
      <c r="AM329" s="252">
        <f>IF(AK329=0,0,Таблиця!BT421)</f>
        <v>0</v>
      </c>
      <c r="AN329" s="132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9"/>
      <c r="B330" s="140"/>
      <c r="C330" s="140"/>
      <c r="D330" s="140"/>
      <c r="E330" s="141"/>
      <c r="F330" s="105" t="s">
        <v>96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>
        <f t="shared" si="307"/>
      </c>
      <c r="L330" s="122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/>
      <c r="AF330" s="23">
        <f t="shared" si="307"/>
      </c>
      <c r="AG330" s="83">
        <f t="shared" si="307"/>
      </c>
      <c r="AH330" s="251"/>
      <c r="AI330" s="142"/>
      <c r="AJ330" s="143"/>
      <c r="AK330" s="146"/>
      <c r="AL330" s="146"/>
      <c r="AM330" s="253"/>
      <c r="AN330" s="133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6"/>
      <c r="B331" s="137"/>
      <c r="C331" s="137"/>
      <c r="D331" s="137"/>
      <c r="E331" s="138"/>
      <c r="F331" s="104" t="s">
        <v>95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6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>
        <f>VLOOKUP(обед4,таб,166,FALSE)</f>
        <v>0</v>
      </c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/>
      <c r="AF331" s="33">
        <f>VLOOKUP(ужин7,таб,166,FALSE)</f>
        <v>0</v>
      </c>
      <c r="AG331" s="87">
        <f>VLOOKUP(ужин8,таб,166,FALSE)</f>
        <v>0</v>
      </c>
      <c r="AH331" s="250"/>
      <c r="AI331" s="142">
        <f>AK331/сред</f>
        <v>0</v>
      </c>
      <c r="AJ331" s="143"/>
      <c r="AK331" s="146">
        <f>SUM(G332:AG332)</f>
        <v>0</v>
      </c>
      <c r="AL331" s="146"/>
      <c r="AM331" s="252">
        <f>IF(AK331=0,0,Таблиця!BT423)</f>
        <v>0</v>
      </c>
      <c r="AN331" s="132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9"/>
      <c r="B332" s="140"/>
      <c r="C332" s="140"/>
      <c r="D332" s="140"/>
      <c r="E332" s="141"/>
      <c r="F332" s="105" t="s">
        <v>96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>
        <f t="shared" si="308"/>
      </c>
      <c r="L332" s="122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/>
      <c r="AF332" s="23">
        <f t="shared" si="308"/>
      </c>
      <c r="AG332" s="83">
        <f t="shared" si="308"/>
      </c>
      <c r="AH332" s="251"/>
      <c r="AI332" s="142"/>
      <c r="AJ332" s="143"/>
      <c r="AK332" s="146"/>
      <c r="AL332" s="146"/>
      <c r="AM332" s="253"/>
      <c r="AN332" s="133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6"/>
      <c r="B333" s="137"/>
      <c r="C333" s="137"/>
      <c r="D333" s="137"/>
      <c r="E333" s="138"/>
      <c r="F333" s="104" t="s">
        <v>95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6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>
        <f>VLOOKUP(обед4,таб,167,FALSE)</f>
        <v>0</v>
      </c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/>
      <c r="AF333" s="33">
        <f>VLOOKUP(ужин7,таб,167,FALSE)</f>
        <v>0</v>
      </c>
      <c r="AG333" s="87">
        <f>VLOOKUP(ужин8,таб,167,FALSE)</f>
        <v>0</v>
      </c>
      <c r="AH333" s="250"/>
      <c r="AI333" s="142">
        <f>AK333/сред</f>
        <v>0</v>
      </c>
      <c r="AJ333" s="143"/>
      <c r="AK333" s="146">
        <f>SUM(G334:AG334)</f>
        <v>0</v>
      </c>
      <c r="AL333" s="146"/>
      <c r="AM333" s="252">
        <f>IF(AK333=0,0,Таблиця!BT425)</f>
        <v>0</v>
      </c>
      <c r="AN333" s="132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9"/>
      <c r="B334" s="140"/>
      <c r="C334" s="140"/>
      <c r="D334" s="140"/>
      <c r="E334" s="141"/>
      <c r="F334" s="105" t="s">
        <v>96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>
        <f t="shared" si="309"/>
      </c>
      <c r="L334" s="122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/>
      <c r="AF334" s="23">
        <f t="shared" si="309"/>
      </c>
      <c r="AG334" s="83">
        <f t="shared" si="309"/>
      </c>
      <c r="AH334" s="251"/>
      <c r="AI334" s="142"/>
      <c r="AJ334" s="143"/>
      <c r="AK334" s="146"/>
      <c r="AL334" s="146"/>
      <c r="AM334" s="253"/>
      <c r="AN334" s="133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6"/>
      <c r="B335" s="137"/>
      <c r="C335" s="137"/>
      <c r="D335" s="137"/>
      <c r="E335" s="138"/>
      <c r="F335" s="104" t="s">
        <v>95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6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>
        <f>VLOOKUP(обед4,таб,168,FALSE)</f>
        <v>0</v>
      </c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/>
      <c r="AF335" s="33">
        <f>VLOOKUP(ужин7,таб,168,FALSE)</f>
        <v>0</v>
      </c>
      <c r="AG335" s="87">
        <f>VLOOKUP(ужин8,таб,168,FALSE)</f>
        <v>0</v>
      </c>
      <c r="AH335" s="250"/>
      <c r="AI335" s="142">
        <f>AK335/сред</f>
        <v>0</v>
      </c>
      <c r="AJ335" s="143"/>
      <c r="AK335" s="146">
        <f>SUM(G336:AG336)</f>
        <v>0</v>
      </c>
      <c r="AL335" s="146"/>
      <c r="AM335" s="252">
        <f>IF(AK335=0,0,Таблиця!BT427)</f>
        <v>0</v>
      </c>
      <c r="AN335" s="132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9"/>
      <c r="B336" s="140"/>
      <c r="C336" s="140"/>
      <c r="D336" s="140"/>
      <c r="E336" s="141"/>
      <c r="F336" s="105" t="s">
        <v>96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>
        <f t="shared" si="310"/>
      </c>
      <c r="L336" s="122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/>
      <c r="AF336" s="23">
        <f t="shared" si="310"/>
      </c>
      <c r="AG336" s="83">
        <f t="shared" si="310"/>
      </c>
      <c r="AH336" s="251"/>
      <c r="AI336" s="142"/>
      <c r="AJ336" s="143"/>
      <c r="AK336" s="146"/>
      <c r="AL336" s="146"/>
      <c r="AM336" s="253"/>
      <c r="AN336" s="133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6"/>
      <c r="B337" s="137"/>
      <c r="C337" s="137"/>
      <c r="D337" s="137"/>
      <c r="E337" s="138"/>
      <c r="F337" s="104" t="s">
        <v>95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6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>
        <f>VLOOKUP(обед4,таб,169,FALSE)</f>
        <v>0</v>
      </c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/>
      <c r="AF337" s="33">
        <f>VLOOKUP(ужин7,таб,169,FALSE)</f>
        <v>0</v>
      </c>
      <c r="AG337" s="87">
        <f>VLOOKUP(ужин8,таб,169,FALSE)</f>
        <v>0</v>
      </c>
      <c r="AH337" s="250"/>
      <c r="AI337" s="142">
        <f>AK337/сред</f>
        <v>0</v>
      </c>
      <c r="AJ337" s="143"/>
      <c r="AK337" s="146">
        <f>SUM(G338:AG338)</f>
        <v>0</v>
      </c>
      <c r="AL337" s="146"/>
      <c r="AM337" s="252">
        <f>IF(AK337=0,0,Таблиця!BT429)</f>
        <v>0</v>
      </c>
      <c r="AN337" s="132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9"/>
      <c r="B338" s="140"/>
      <c r="C338" s="140"/>
      <c r="D338" s="140"/>
      <c r="E338" s="141"/>
      <c r="F338" s="105" t="s">
        <v>96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>
        <f t="shared" si="311"/>
      </c>
      <c r="L338" s="122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/>
      <c r="AF338" s="23">
        <f t="shared" si="311"/>
      </c>
      <c r="AG338" s="83">
        <f t="shared" si="311"/>
      </c>
      <c r="AH338" s="251"/>
      <c r="AI338" s="142"/>
      <c r="AJ338" s="143"/>
      <c r="AK338" s="146"/>
      <c r="AL338" s="146"/>
      <c r="AM338" s="253"/>
      <c r="AN338" s="133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6"/>
      <c r="B339" s="137"/>
      <c r="C339" s="137"/>
      <c r="D339" s="137"/>
      <c r="E339" s="138"/>
      <c r="F339" s="104" t="s">
        <v>95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6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>
        <f>VLOOKUP(обед4,таб,170,FALSE)</f>
        <v>0</v>
      </c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/>
      <c r="AF339" s="33">
        <f>VLOOKUP(ужин7,таб,170,FALSE)</f>
        <v>0</v>
      </c>
      <c r="AG339" s="87">
        <f>VLOOKUP(ужин8,таб,170,FALSE)</f>
        <v>0</v>
      </c>
      <c r="AH339" s="250"/>
      <c r="AI339" s="142">
        <f>AK339/сред</f>
        <v>0</v>
      </c>
      <c r="AJ339" s="143"/>
      <c r="AK339" s="146">
        <f>SUM(G340:AG340)</f>
        <v>0</v>
      </c>
      <c r="AL339" s="146"/>
      <c r="AM339" s="252">
        <f>IF(AK339=0,0,Таблиця!BT431)</f>
        <v>0</v>
      </c>
      <c r="AN339" s="132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9"/>
      <c r="B340" s="140"/>
      <c r="C340" s="140"/>
      <c r="D340" s="140"/>
      <c r="E340" s="141"/>
      <c r="F340" s="105" t="s">
        <v>96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>
        <f t="shared" si="312"/>
      </c>
      <c r="L340" s="122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/>
      <c r="AF340" s="23">
        <f t="shared" si="312"/>
      </c>
      <c r="AG340" s="83">
        <f t="shared" si="312"/>
      </c>
      <c r="AH340" s="251"/>
      <c r="AI340" s="142"/>
      <c r="AJ340" s="143"/>
      <c r="AK340" s="146"/>
      <c r="AL340" s="146"/>
      <c r="AM340" s="253"/>
      <c r="AN340" s="133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6"/>
      <c r="B341" s="137"/>
      <c r="C341" s="137"/>
      <c r="D341" s="137"/>
      <c r="E341" s="138"/>
      <c r="F341" s="104" t="s">
        <v>95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6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>
        <f>VLOOKUP(обед4,таб,171,FALSE)</f>
        <v>0</v>
      </c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/>
      <c r="AF341" s="33">
        <f>VLOOKUP(ужин7,таб,171,FALSE)</f>
        <v>0</v>
      </c>
      <c r="AG341" s="87">
        <f>VLOOKUP(ужин8,таб,171,FALSE)</f>
        <v>0</v>
      </c>
      <c r="AH341" s="250"/>
      <c r="AI341" s="142">
        <f>AK341/сред</f>
        <v>0</v>
      </c>
      <c r="AJ341" s="143"/>
      <c r="AK341" s="146">
        <f>SUM(G342:AG342)</f>
        <v>0</v>
      </c>
      <c r="AL341" s="146"/>
      <c r="AM341" s="252">
        <f>IF(AK341=0,0,Таблиця!BT433)</f>
        <v>0</v>
      </c>
      <c r="AN341" s="132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9"/>
      <c r="B342" s="140"/>
      <c r="C342" s="140"/>
      <c r="D342" s="140"/>
      <c r="E342" s="141"/>
      <c r="F342" s="105" t="s">
        <v>96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>
        <f t="shared" si="313"/>
      </c>
      <c r="L342" s="122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/>
      <c r="AF342" s="23">
        <f t="shared" si="313"/>
      </c>
      <c r="AG342" s="83">
        <f t="shared" si="313"/>
      </c>
      <c r="AH342" s="251"/>
      <c r="AI342" s="142"/>
      <c r="AJ342" s="143"/>
      <c r="AK342" s="146"/>
      <c r="AL342" s="146"/>
      <c r="AM342" s="253"/>
      <c r="AN342" s="133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6"/>
      <c r="B343" s="137"/>
      <c r="C343" s="137"/>
      <c r="D343" s="137"/>
      <c r="E343" s="138"/>
      <c r="F343" s="104" t="s">
        <v>95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6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>
        <f>VLOOKUP(обед4,таб,172,FALSE)</f>
        <v>0</v>
      </c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/>
      <c r="AF343" s="33">
        <f>VLOOKUP(ужин7,таб,172,FALSE)</f>
        <v>0</v>
      </c>
      <c r="AG343" s="87">
        <f>VLOOKUP(ужин8,таб,172,FALSE)</f>
        <v>0</v>
      </c>
      <c r="AH343" s="250"/>
      <c r="AI343" s="142">
        <f>AK343/сред</f>
        <v>0</v>
      </c>
      <c r="AJ343" s="143"/>
      <c r="AK343" s="146">
        <f>SUM(G344:AG344)</f>
        <v>0</v>
      </c>
      <c r="AL343" s="146"/>
      <c r="AM343" s="252">
        <f>IF(AK343=0,0,Таблиця!BT435)</f>
        <v>0</v>
      </c>
      <c r="AN343" s="132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9"/>
      <c r="B344" s="140"/>
      <c r="C344" s="140"/>
      <c r="D344" s="140"/>
      <c r="E344" s="141"/>
      <c r="F344" s="105" t="s">
        <v>96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>
        <f t="shared" si="314"/>
      </c>
      <c r="L344" s="122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/>
      <c r="AF344" s="23">
        <f t="shared" si="314"/>
      </c>
      <c r="AG344" s="83">
        <f t="shared" si="314"/>
      </c>
      <c r="AH344" s="251"/>
      <c r="AI344" s="142"/>
      <c r="AJ344" s="143"/>
      <c r="AK344" s="146"/>
      <c r="AL344" s="146"/>
      <c r="AM344" s="253"/>
      <c r="AN344" s="133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6"/>
      <c r="B345" s="137"/>
      <c r="C345" s="137"/>
      <c r="D345" s="137"/>
      <c r="E345" s="138"/>
      <c r="F345" s="104" t="s">
        <v>95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6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>
        <f>VLOOKUP(обед4,таб,173,FALSE)</f>
        <v>0</v>
      </c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/>
      <c r="AF345" s="33">
        <f>VLOOKUP(ужин7,таб,173,FALSE)</f>
        <v>0</v>
      </c>
      <c r="AG345" s="87">
        <f>VLOOKUP(ужин8,таб,173,FALSE)</f>
        <v>0</v>
      </c>
      <c r="AH345" s="250"/>
      <c r="AI345" s="142">
        <f>AK345/сред</f>
        <v>0</v>
      </c>
      <c r="AJ345" s="143"/>
      <c r="AK345" s="146">
        <f>SUM(G346:AG346)</f>
        <v>0</v>
      </c>
      <c r="AL345" s="146"/>
      <c r="AM345" s="252">
        <f>IF(AK345=0,0,Таблиця!BT437)</f>
        <v>0</v>
      </c>
      <c r="AN345" s="132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9"/>
      <c r="B346" s="140"/>
      <c r="C346" s="140"/>
      <c r="D346" s="140"/>
      <c r="E346" s="141"/>
      <c r="F346" s="105" t="s">
        <v>96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>
        <f t="shared" si="315"/>
      </c>
      <c r="L346" s="122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/>
      <c r="AF346" s="23">
        <f t="shared" si="315"/>
      </c>
      <c r="AG346" s="83">
        <f t="shared" si="315"/>
      </c>
      <c r="AH346" s="251"/>
      <c r="AI346" s="142"/>
      <c r="AJ346" s="143"/>
      <c r="AK346" s="146"/>
      <c r="AL346" s="146"/>
      <c r="AM346" s="253"/>
      <c r="AN346" s="133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6"/>
      <c r="B347" s="137"/>
      <c r="C347" s="137"/>
      <c r="D347" s="137"/>
      <c r="E347" s="138"/>
      <c r="F347" s="104" t="s">
        <v>95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6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>
        <f>VLOOKUP(обед4,таб,174,FALSE)</f>
        <v>0</v>
      </c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/>
      <c r="AF347" s="33">
        <f>VLOOKUP(ужин7,таб,174,FALSE)</f>
        <v>0</v>
      </c>
      <c r="AG347" s="87">
        <f>VLOOKUP(ужин8,таб,174,FALSE)</f>
        <v>0</v>
      </c>
      <c r="AH347" s="250"/>
      <c r="AI347" s="142">
        <f>AK347/сред</f>
        <v>0</v>
      </c>
      <c r="AJ347" s="143"/>
      <c r="AK347" s="146">
        <f>SUM(G348:AG348)</f>
        <v>0</v>
      </c>
      <c r="AL347" s="146"/>
      <c r="AM347" s="252">
        <f>IF(AK347=0,0,Таблиця!BT439)</f>
        <v>0</v>
      </c>
      <c r="AN347" s="132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9"/>
      <c r="B348" s="140"/>
      <c r="C348" s="140"/>
      <c r="D348" s="140"/>
      <c r="E348" s="141"/>
      <c r="F348" s="105" t="s">
        <v>96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>
        <f t="shared" si="316"/>
      </c>
      <c r="L348" s="122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/>
      <c r="AF348" s="23">
        <f t="shared" si="316"/>
      </c>
      <c r="AG348" s="83">
        <f t="shared" si="316"/>
      </c>
      <c r="AH348" s="251"/>
      <c r="AI348" s="142"/>
      <c r="AJ348" s="143"/>
      <c r="AK348" s="146"/>
      <c r="AL348" s="146"/>
      <c r="AM348" s="253"/>
      <c r="AN348" s="133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6"/>
      <c r="B349" s="137"/>
      <c r="C349" s="137"/>
      <c r="D349" s="137"/>
      <c r="E349" s="138"/>
      <c r="F349" s="104" t="s">
        <v>95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6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>
        <f>VLOOKUP(обед4,таб,175,FALSE)</f>
        <v>0</v>
      </c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/>
      <c r="AF349" s="33">
        <f>VLOOKUP(ужин7,таб,175,FALSE)</f>
        <v>0</v>
      </c>
      <c r="AG349" s="87">
        <f>VLOOKUP(ужин8,таб,175,FALSE)</f>
        <v>0</v>
      </c>
      <c r="AH349" s="250"/>
      <c r="AI349" s="142">
        <f>AK349/сред</f>
        <v>0</v>
      </c>
      <c r="AJ349" s="143"/>
      <c r="AK349" s="146">
        <f>SUM(G350:AG350)</f>
        <v>0</v>
      </c>
      <c r="AL349" s="146"/>
      <c r="AM349" s="252">
        <f>IF(AK349=0,0,Таблиця!BT441)</f>
        <v>0</v>
      </c>
      <c r="AN349" s="132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9"/>
      <c r="B350" s="140"/>
      <c r="C350" s="140"/>
      <c r="D350" s="140"/>
      <c r="E350" s="141"/>
      <c r="F350" s="105" t="s">
        <v>96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>
        <f t="shared" si="317"/>
      </c>
      <c r="L350" s="122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/>
      <c r="AF350" s="23">
        <f t="shared" si="317"/>
      </c>
      <c r="AG350" s="83">
        <f t="shared" si="317"/>
      </c>
      <c r="AH350" s="251"/>
      <c r="AI350" s="142"/>
      <c r="AJ350" s="143"/>
      <c r="AK350" s="146"/>
      <c r="AL350" s="146"/>
      <c r="AM350" s="253"/>
      <c r="AN350" s="133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6"/>
      <c r="B351" s="137"/>
      <c r="C351" s="137"/>
      <c r="D351" s="137"/>
      <c r="E351" s="138"/>
      <c r="F351" s="104" t="s">
        <v>95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6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>
        <f>VLOOKUP(обед4,таб,176,FALSE)</f>
        <v>0</v>
      </c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/>
      <c r="AF351" s="33">
        <f>VLOOKUP(ужин7,таб,176,FALSE)</f>
        <v>0</v>
      </c>
      <c r="AG351" s="87">
        <f>VLOOKUP(ужин8,таб,176,FALSE)</f>
        <v>0</v>
      </c>
      <c r="AH351" s="250"/>
      <c r="AI351" s="142">
        <f>AK351/сред</f>
        <v>0</v>
      </c>
      <c r="AJ351" s="143"/>
      <c r="AK351" s="146">
        <f>SUM(G352:AG352)</f>
        <v>0</v>
      </c>
      <c r="AL351" s="146"/>
      <c r="AM351" s="252">
        <f>IF(AK351=0,0,Таблиця!BT443)</f>
        <v>0</v>
      </c>
      <c r="AN351" s="132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9"/>
      <c r="B352" s="140"/>
      <c r="C352" s="140"/>
      <c r="D352" s="140"/>
      <c r="E352" s="141"/>
      <c r="F352" s="105" t="s">
        <v>96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>
        <f t="shared" si="318"/>
      </c>
      <c r="L352" s="122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/>
      <c r="AF352" s="23">
        <f t="shared" si="318"/>
      </c>
      <c r="AG352" s="83">
        <f t="shared" si="318"/>
      </c>
      <c r="AH352" s="251"/>
      <c r="AI352" s="142"/>
      <c r="AJ352" s="143"/>
      <c r="AK352" s="146"/>
      <c r="AL352" s="146"/>
      <c r="AM352" s="253"/>
      <c r="AN352" s="133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6"/>
      <c r="B353" s="137"/>
      <c r="C353" s="137"/>
      <c r="D353" s="137"/>
      <c r="E353" s="138"/>
      <c r="F353" s="104" t="s">
        <v>95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6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>
        <f>VLOOKUP(обед4,таб,177,FALSE)</f>
        <v>0</v>
      </c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/>
      <c r="AF353" s="33">
        <f>VLOOKUP(ужин7,таб,177,FALSE)</f>
        <v>0</v>
      </c>
      <c r="AG353" s="87">
        <f>VLOOKUP(ужин8,таб,177,FALSE)</f>
        <v>0</v>
      </c>
      <c r="AH353" s="250"/>
      <c r="AI353" s="142">
        <f>AK353/сред</f>
        <v>0</v>
      </c>
      <c r="AJ353" s="143"/>
      <c r="AK353" s="146">
        <f>SUM(G354:AG354)</f>
        <v>0</v>
      </c>
      <c r="AL353" s="146"/>
      <c r="AM353" s="252">
        <f>IF(AK353=0,0,Таблиця!BT445)</f>
        <v>0</v>
      </c>
      <c r="AN353" s="132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9"/>
      <c r="B354" s="140"/>
      <c r="C354" s="140"/>
      <c r="D354" s="140"/>
      <c r="E354" s="141"/>
      <c r="F354" s="105" t="s">
        <v>96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>
        <f t="shared" si="319"/>
      </c>
      <c r="L354" s="122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/>
      <c r="AF354" s="23">
        <f t="shared" si="319"/>
      </c>
      <c r="AG354" s="83">
        <f t="shared" si="319"/>
      </c>
      <c r="AH354" s="251"/>
      <c r="AI354" s="142"/>
      <c r="AJ354" s="143"/>
      <c r="AK354" s="146"/>
      <c r="AL354" s="146"/>
      <c r="AM354" s="253"/>
      <c r="AN354" s="133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6"/>
      <c r="B355" s="137"/>
      <c r="C355" s="137"/>
      <c r="D355" s="137"/>
      <c r="E355" s="138"/>
      <c r="F355" s="104" t="s">
        <v>95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6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>
        <f>VLOOKUP(обед4,таб,178,FALSE)</f>
        <v>0</v>
      </c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/>
      <c r="AF355" s="33">
        <f>VLOOKUP(ужин7,таб,178,FALSE)</f>
        <v>0</v>
      </c>
      <c r="AG355" s="87">
        <f>VLOOKUP(ужин8,таб,178,FALSE)</f>
        <v>0</v>
      </c>
      <c r="AH355" s="250"/>
      <c r="AI355" s="142">
        <f>AK355/сред</f>
        <v>0</v>
      </c>
      <c r="AJ355" s="143"/>
      <c r="AK355" s="146">
        <f>SUM(G356:AG356)</f>
        <v>0</v>
      </c>
      <c r="AL355" s="146"/>
      <c r="AM355" s="252">
        <f>IF(AK355=0,0,Таблиця!BT447)</f>
        <v>0</v>
      </c>
      <c r="AN355" s="132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9"/>
      <c r="B356" s="140"/>
      <c r="C356" s="140"/>
      <c r="D356" s="140"/>
      <c r="E356" s="141"/>
      <c r="F356" s="105" t="s">
        <v>96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>
        <f t="shared" si="320"/>
      </c>
      <c r="L356" s="122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/>
      <c r="AF356" s="23">
        <f t="shared" si="320"/>
      </c>
      <c r="AG356" s="83">
        <f t="shared" si="320"/>
      </c>
      <c r="AH356" s="251"/>
      <c r="AI356" s="142"/>
      <c r="AJ356" s="143"/>
      <c r="AK356" s="146"/>
      <c r="AL356" s="146"/>
      <c r="AM356" s="253"/>
      <c r="AN356" s="133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6"/>
      <c r="B357" s="137"/>
      <c r="C357" s="137"/>
      <c r="D357" s="137"/>
      <c r="E357" s="138"/>
      <c r="F357" s="104" t="s">
        <v>95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6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>
        <f>VLOOKUP(обед4,таб,179,FALSE)</f>
        <v>0</v>
      </c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/>
      <c r="AF357" s="33">
        <f>VLOOKUP(ужин7,таб,179,FALSE)</f>
        <v>0</v>
      </c>
      <c r="AG357" s="87">
        <f>VLOOKUP(ужин8,таб,179,FALSE)</f>
        <v>0</v>
      </c>
      <c r="AH357" s="250"/>
      <c r="AI357" s="142">
        <f>AK357/сред</f>
        <v>0</v>
      </c>
      <c r="AJ357" s="143"/>
      <c r="AK357" s="146">
        <f>SUM(G358:AG358)</f>
        <v>0</v>
      </c>
      <c r="AL357" s="146"/>
      <c r="AM357" s="252">
        <f>IF(AK357=0,0,Таблиця!BT449)</f>
        <v>0</v>
      </c>
      <c r="AN357" s="132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9"/>
      <c r="B358" s="140"/>
      <c r="C358" s="140"/>
      <c r="D358" s="140"/>
      <c r="E358" s="141"/>
      <c r="F358" s="105" t="s">
        <v>96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>
        <f t="shared" si="321"/>
      </c>
      <c r="L358" s="122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/>
      <c r="AF358" s="23">
        <f t="shared" si="321"/>
      </c>
      <c r="AG358" s="83">
        <f t="shared" si="321"/>
      </c>
      <c r="AH358" s="251"/>
      <c r="AI358" s="142"/>
      <c r="AJ358" s="143"/>
      <c r="AK358" s="146"/>
      <c r="AL358" s="146"/>
      <c r="AM358" s="253"/>
      <c r="AN358" s="133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6"/>
      <c r="B359" s="137"/>
      <c r="C359" s="137"/>
      <c r="D359" s="137"/>
      <c r="E359" s="138"/>
      <c r="F359" s="104" t="s">
        <v>95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6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>
        <f>VLOOKUP(обед4,таб,180,FALSE)</f>
        <v>0</v>
      </c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/>
      <c r="AF359" s="33">
        <f>VLOOKUP(ужин7,таб,180,FALSE)</f>
        <v>0</v>
      </c>
      <c r="AG359" s="87">
        <f>VLOOKUP(ужин8,таб,180,FALSE)</f>
        <v>0</v>
      </c>
      <c r="AH359" s="250"/>
      <c r="AI359" s="142">
        <f>AK359/сред</f>
        <v>0</v>
      </c>
      <c r="AJ359" s="143"/>
      <c r="AK359" s="146">
        <f>SUM(G360:AG360)</f>
        <v>0</v>
      </c>
      <c r="AL359" s="146"/>
      <c r="AM359" s="252">
        <f>IF(AK359=0,0,Таблиця!BT451)</f>
        <v>0</v>
      </c>
      <c r="AN359" s="132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9"/>
      <c r="B360" s="140"/>
      <c r="C360" s="140"/>
      <c r="D360" s="140"/>
      <c r="E360" s="141"/>
      <c r="F360" s="105" t="s">
        <v>96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>
        <f t="shared" si="322"/>
      </c>
      <c r="L360" s="122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/>
      <c r="AF360" s="23">
        <f t="shared" si="322"/>
      </c>
      <c r="AG360" s="83">
        <f t="shared" si="322"/>
      </c>
      <c r="AH360" s="251"/>
      <c r="AI360" s="142"/>
      <c r="AJ360" s="143"/>
      <c r="AK360" s="146"/>
      <c r="AL360" s="146"/>
      <c r="AM360" s="253"/>
      <c r="AN360" s="133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6"/>
      <c r="B361" s="137"/>
      <c r="C361" s="137"/>
      <c r="D361" s="137"/>
      <c r="E361" s="138"/>
      <c r="F361" s="104" t="s">
        <v>95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6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>
        <f>VLOOKUP(обед4,таб,181,FALSE)</f>
        <v>0</v>
      </c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/>
      <c r="AF361" s="33">
        <f>VLOOKUP(ужин7,таб,181,FALSE)</f>
        <v>0</v>
      </c>
      <c r="AG361" s="87">
        <f>VLOOKUP(ужин8,таб,181,FALSE)</f>
        <v>0</v>
      </c>
      <c r="AH361" s="250"/>
      <c r="AI361" s="142">
        <f>AK361/сред</f>
        <v>0</v>
      </c>
      <c r="AJ361" s="143"/>
      <c r="AK361" s="146">
        <f>SUM(G362:AG362)</f>
        <v>0</v>
      </c>
      <c r="AL361" s="146"/>
      <c r="AM361" s="252">
        <f>IF(AK361=0,0,Таблиця!BT453)</f>
        <v>0</v>
      </c>
      <c r="AN361" s="132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9"/>
      <c r="B362" s="140"/>
      <c r="C362" s="140"/>
      <c r="D362" s="140"/>
      <c r="E362" s="141"/>
      <c r="F362" s="105" t="s">
        <v>96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>
        <f t="shared" si="323"/>
      </c>
      <c r="L362" s="122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/>
      <c r="AF362" s="23">
        <f t="shared" si="323"/>
      </c>
      <c r="AG362" s="83">
        <f t="shared" si="323"/>
      </c>
      <c r="AH362" s="251"/>
      <c r="AI362" s="142"/>
      <c r="AJ362" s="143"/>
      <c r="AK362" s="146"/>
      <c r="AL362" s="146"/>
      <c r="AM362" s="253"/>
      <c r="AN362" s="133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6"/>
      <c r="B363" s="137"/>
      <c r="C363" s="137"/>
      <c r="D363" s="137"/>
      <c r="E363" s="138"/>
      <c r="F363" s="104" t="s">
        <v>95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6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>
        <f>VLOOKUP(обед4,таб,182,FALSE)</f>
        <v>0</v>
      </c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/>
      <c r="AF363" s="33">
        <f>VLOOKUP(ужин7,таб,182,FALSE)</f>
        <v>0</v>
      </c>
      <c r="AG363" s="87">
        <f>VLOOKUP(ужин8,таб,182,FALSE)</f>
        <v>0</v>
      </c>
      <c r="AH363" s="250"/>
      <c r="AI363" s="142">
        <f>AK363/сред</f>
        <v>0</v>
      </c>
      <c r="AJ363" s="143"/>
      <c r="AK363" s="146">
        <f>SUM(G364:AG364)</f>
        <v>0</v>
      </c>
      <c r="AL363" s="146"/>
      <c r="AM363" s="252">
        <f>IF(AK363=0,0,Таблиця!BT455)</f>
        <v>0</v>
      </c>
      <c r="AN363" s="132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9"/>
      <c r="B364" s="140"/>
      <c r="C364" s="140"/>
      <c r="D364" s="140"/>
      <c r="E364" s="141"/>
      <c r="F364" s="105" t="s">
        <v>96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>
        <f t="shared" si="324"/>
      </c>
      <c r="L364" s="122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/>
      <c r="AF364" s="23">
        <f t="shared" si="324"/>
      </c>
      <c r="AG364" s="83">
        <f t="shared" si="324"/>
      </c>
      <c r="AH364" s="251"/>
      <c r="AI364" s="142"/>
      <c r="AJ364" s="143"/>
      <c r="AK364" s="146"/>
      <c r="AL364" s="146"/>
      <c r="AM364" s="253"/>
      <c r="AN364" s="133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6"/>
      <c r="B365" s="137"/>
      <c r="C365" s="137"/>
      <c r="D365" s="137"/>
      <c r="E365" s="138"/>
      <c r="F365" s="104" t="s">
        <v>95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6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>
        <f>VLOOKUP(обед4,таб,183,FALSE)</f>
        <v>0</v>
      </c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/>
      <c r="AF365" s="33">
        <f>VLOOKUP(ужин7,таб,183,FALSE)</f>
        <v>0</v>
      </c>
      <c r="AG365" s="87">
        <f>VLOOKUP(ужин8,таб,183,FALSE)</f>
        <v>0</v>
      </c>
      <c r="AH365" s="250"/>
      <c r="AI365" s="142">
        <f>AK365/сред</f>
        <v>0</v>
      </c>
      <c r="AJ365" s="143"/>
      <c r="AK365" s="146">
        <f>SUM(G366:AG366)</f>
        <v>0</v>
      </c>
      <c r="AL365" s="146"/>
      <c r="AM365" s="252">
        <f>IF(AK365=0,0,Таблиця!BT457)</f>
        <v>0</v>
      </c>
      <c r="AN365" s="132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9"/>
      <c r="B366" s="140"/>
      <c r="C366" s="140"/>
      <c r="D366" s="140"/>
      <c r="E366" s="141"/>
      <c r="F366" s="105" t="s">
        <v>96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>
        <f t="shared" si="325"/>
      </c>
      <c r="L366" s="122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/>
      <c r="AF366" s="23">
        <f t="shared" si="325"/>
      </c>
      <c r="AG366" s="83">
        <f t="shared" si="325"/>
      </c>
      <c r="AH366" s="251"/>
      <c r="AI366" s="142"/>
      <c r="AJ366" s="143"/>
      <c r="AK366" s="146"/>
      <c r="AL366" s="146"/>
      <c r="AM366" s="253"/>
      <c r="AN366" s="133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6"/>
      <c r="B367" s="137"/>
      <c r="C367" s="137"/>
      <c r="D367" s="137"/>
      <c r="E367" s="138"/>
      <c r="F367" s="104" t="s">
        <v>95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6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>
        <f>VLOOKUP(обед4,таб,184,FALSE)</f>
        <v>0</v>
      </c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/>
      <c r="AF367" s="33">
        <f>VLOOKUP(ужин7,таб,184,FALSE)</f>
        <v>0</v>
      </c>
      <c r="AG367" s="87">
        <f>VLOOKUP(ужин8,таб,184,FALSE)</f>
        <v>0</v>
      </c>
      <c r="AH367" s="250"/>
      <c r="AI367" s="142">
        <f>AK367/сред</f>
        <v>0</v>
      </c>
      <c r="AJ367" s="143"/>
      <c r="AK367" s="146">
        <f>SUM(G368:AG368)</f>
        <v>0</v>
      </c>
      <c r="AL367" s="146"/>
      <c r="AM367" s="252">
        <f>IF(AK367=0,0,Таблиця!BT459)</f>
        <v>0</v>
      </c>
      <c r="AN367" s="132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9"/>
      <c r="B368" s="140"/>
      <c r="C368" s="140"/>
      <c r="D368" s="140"/>
      <c r="E368" s="141"/>
      <c r="F368" s="105" t="s">
        <v>96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>
        <f t="shared" si="326"/>
      </c>
      <c r="L368" s="122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/>
      <c r="AF368" s="23">
        <f t="shared" si="326"/>
      </c>
      <c r="AG368" s="83">
        <f t="shared" si="326"/>
      </c>
      <c r="AH368" s="251"/>
      <c r="AI368" s="142"/>
      <c r="AJ368" s="143"/>
      <c r="AK368" s="146"/>
      <c r="AL368" s="146"/>
      <c r="AM368" s="253"/>
      <c r="AN368" s="133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6"/>
      <c r="B369" s="137"/>
      <c r="C369" s="137"/>
      <c r="D369" s="137"/>
      <c r="E369" s="138"/>
      <c r="F369" s="104" t="s">
        <v>95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6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>
        <f>VLOOKUP(обед4,таб,185,FALSE)</f>
        <v>0</v>
      </c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/>
      <c r="AF369" s="33">
        <f>VLOOKUP(ужин7,таб,185,FALSE)</f>
        <v>0</v>
      </c>
      <c r="AG369" s="87">
        <f>VLOOKUP(ужин8,таб,185,FALSE)</f>
        <v>0</v>
      </c>
      <c r="AH369" s="250"/>
      <c r="AI369" s="142">
        <f>AK369/сред</f>
        <v>0</v>
      </c>
      <c r="AJ369" s="143"/>
      <c r="AK369" s="146">
        <f>SUM(G370:AG370)</f>
        <v>0</v>
      </c>
      <c r="AL369" s="146"/>
      <c r="AM369" s="252">
        <f>IF(AK369=0,0,Таблиця!BT461)</f>
        <v>0</v>
      </c>
      <c r="AN369" s="132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9"/>
      <c r="B370" s="140"/>
      <c r="C370" s="140"/>
      <c r="D370" s="140"/>
      <c r="E370" s="141"/>
      <c r="F370" s="105" t="s">
        <v>96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>
        <f t="shared" si="327"/>
      </c>
      <c r="L370" s="122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/>
      <c r="AF370" s="23">
        <f t="shared" si="327"/>
      </c>
      <c r="AG370" s="83">
        <f t="shared" si="327"/>
      </c>
      <c r="AH370" s="251"/>
      <c r="AI370" s="142"/>
      <c r="AJ370" s="143"/>
      <c r="AK370" s="146"/>
      <c r="AL370" s="146"/>
      <c r="AM370" s="253"/>
      <c r="AN370" s="133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6"/>
      <c r="B371" s="137"/>
      <c r="C371" s="137"/>
      <c r="D371" s="137"/>
      <c r="E371" s="138"/>
      <c r="F371" s="104" t="s">
        <v>95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6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>
        <f>VLOOKUP(обед4,таб,186,FALSE)</f>
        <v>0</v>
      </c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/>
      <c r="AF371" s="33">
        <f>VLOOKUP(ужин7,таб,186,FALSE)</f>
        <v>0</v>
      </c>
      <c r="AG371" s="87">
        <f>VLOOKUP(ужин8,таб,186,FALSE)</f>
        <v>0</v>
      </c>
      <c r="AH371" s="250"/>
      <c r="AI371" s="142">
        <f>AK371/сред</f>
        <v>0</v>
      </c>
      <c r="AJ371" s="143"/>
      <c r="AK371" s="146">
        <f>SUM(G372:AG372)</f>
        <v>0</v>
      </c>
      <c r="AL371" s="146"/>
      <c r="AM371" s="252">
        <f>IF(AK371=0,0,Таблиця!BT463)</f>
        <v>0</v>
      </c>
      <c r="AN371" s="132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9"/>
      <c r="B372" s="140"/>
      <c r="C372" s="140"/>
      <c r="D372" s="140"/>
      <c r="E372" s="141"/>
      <c r="F372" s="105" t="s">
        <v>96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>
        <f t="shared" si="328"/>
      </c>
      <c r="L372" s="122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/>
      <c r="AF372" s="23">
        <f t="shared" si="328"/>
      </c>
      <c r="AG372" s="83">
        <f t="shared" si="328"/>
      </c>
      <c r="AH372" s="251"/>
      <c r="AI372" s="142"/>
      <c r="AJ372" s="143"/>
      <c r="AK372" s="146"/>
      <c r="AL372" s="146"/>
      <c r="AM372" s="253"/>
      <c r="AN372" s="133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6"/>
      <c r="B373" s="137"/>
      <c r="C373" s="137"/>
      <c r="D373" s="137"/>
      <c r="E373" s="138"/>
      <c r="F373" s="104" t="s">
        <v>95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6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>
        <f>VLOOKUP(обед4,таб,187,FALSE)</f>
        <v>0</v>
      </c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/>
      <c r="AF373" s="33">
        <f>VLOOKUP(ужин7,таб,187,FALSE)</f>
        <v>0</v>
      </c>
      <c r="AG373" s="87">
        <f>VLOOKUP(ужин8,таб,187,FALSE)</f>
        <v>0</v>
      </c>
      <c r="AH373" s="250"/>
      <c r="AI373" s="142">
        <f>AK373/сред</f>
        <v>0</v>
      </c>
      <c r="AJ373" s="143"/>
      <c r="AK373" s="146">
        <f>SUM(G374:AG374)</f>
        <v>0</v>
      </c>
      <c r="AL373" s="146"/>
      <c r="AM373" s="252">
        <f>IF(AK373=0,0,Таблиця!BT465)</f>
        <v>0</v>
      </c>
      <c r="AN373" s="132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9"/>
      <c r="B374" s="140"/>
      <c r="C374" s="140"/>
      <c r="D374" s="140"/>
      <c r="E374" s="141"/>
      <c r="F374" s="105" t="s">
        <v>96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>
        <f t="shared" si="329"/>
      </c>
      <c r="L374" s="122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/>
      <c r="AF374" s="23">
        <f t="shared" si="329"/>
      </c>
      <c r="AG374" s="83">
        <f t="shared" si="329"/>
      </c>
      <c r="AH374" s="251"/>
      <c r="AI374" s="142"/>
      <c r="AJ374" s="143"/>
      <c r="AK374" s="146"/>
      <c r="AL374" s="146"/>
      <c r="AM374" s="253"/>
      <c r="AN374" s="133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6"/>
      <c r="B375" s="137"/>
      <c r="C375" s="137"/>
      <c r="D375" s="137"/>
      <c r="E375" s="138"/>
      <c r="F375" s="104" t="s">
        <v>95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6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>
        <f>VLOOKUP(обед4,таб,188,FALSE)</f>
        <v>0</v>
      </c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/>
      <c r="AF375" s="33">
        <f>VLOOKUP(ужин7,таб,188,FALSE)</f>
        <v>0</v>
      </c>
      <c r="AG375" s="87">
        <f>VLOOKUP(ужин8,таб,188,FALSE)</f>
        <v>0</v>
      </c>
      <c r="AH375" s="250"/>
      <c r="AI375" s="142">
        <f>AK375/сред</f>
        <v>0</v>
      </c>
      <c r="AJ375" s="143"/>
      <c r="AK375" s="146">
        <f>SUM(G376:AG376)</f>
        <v>0</v>
      </c>
      <c r="AL375" s="146"/>
      <c r="AM375" s="252">
        <f>IF(AK375=0,0,Таблиця!BT467)</f>
        <v>0</v>
      </c>
      <c r="AN375" s="132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9"/>
      <c r="B376" s="140"/>
      <c r="C376" s="140"/>
      <c r="D376" s="140"/>
      <c r="E376" s="141"/>
      <c r="F376" s="105" t="s">
        <v>96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>
        <f t="shared" si="330"/>
      </c>
      <c r="L376" s="122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/>
      <c r="AF376" s="23">
        <f t="shared" si="330"/>
      </c>
      <c r="AG376" s="83">
        <f t="shared" si="330"/>
      </c>
      <c r="AH376" s="251"/>
      <c r="AI376" s="142"/>
      <c r="AJ376" s="143"/>
      <c r="AK376" s="146"/>
      <c r="AL376" s="146"/>
      <c r="AM376" s="253"/>
      <c r="AN376" s="133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6"/>
      <c r="B377" s="137"/>
      <c r="C377" s="137"/>
      <c r="D377" s="137"/>
      <c r="E377" s="138"/>
      <c r="F377" s="104" t="s">
        <v>95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6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>
        <f>VLOOKUP(обед4,таб,189,FALSE)</f>
        <v>0</v>
      </c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/>
      <c r="AF377" s="33">
        <f>VLOOKUP(ужин7,таб,189,FALSE)</f>
        <v>0</v>
      </c>
      <c r="AG377" s="87">
        <f>VLOOKUP(ужин8,таб,189,FALSE)</f>
        <v>0</v>
      </c>
      <c r="AH377" s="250"/>
      <c r="AI377" s="142">
        <f>AK377/сред</f>
        <v>0</v>
      </c>
      <c r="AJ377" s="143"/>
      <c r="AK377" s="146">
        <f>SUM(G378:AG378)</f>
        <v>0</v>
      </c>
      <c r="AL377" s="146"/>
      <c r="AM377" s="252">
        <f>IF(AK377=0,0,Таблиця!BT469)</f>
        <v>0</v>
      </c>
      <c r="AN377" s="132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9"/>
      <c r="B378" s="140"/>
      <c r="C378" s="140"/>
      <c r="D378" s="140"/>
      <c r="E378" s="141"/>
      <c r="F378" s="105" t="s">
        <v>96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>
        <f t="shared" si="331"/>
      </c>
      <c r="L378" s="122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/>
      <c r="AF378" s="23">
        <f t="shared" si="331"/>
      </c>
      <c r="AG378" s="83">
        <f t="shared" si="331"/>
      </c>
      <c r="AH378" s="251"/>
      <c r="AI378" s="142"/>
      <c r="AJ378" s="143"/>
      <c r="AK378" s="146"/>
      <c r="AL378" s="146"/>
      <c r="AM378" s="253"/>
      <c r="AN378" s="133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6"/>
      <c r="B379" s="137"/>
      <c r="C379" s="137"/>
      <c r="D379" s="137"/>
      <c r="E379" s="138"/>
      <c r="F379" s="104" t="s">
        <v>95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6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>
        <f>VLOOKUP(обед4,таб,190,FALSE)</f>
        <v>0</v>
      </c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/>
      <c r="AF379" s="33">
        <f>VLOOKUP(ужин7,таб,190,FALSE)</f>
        <v>0</v>
      </c>
      <c r="AG379" s="87">
        <f>VLOOKUP(ужин8,таб,190,FALSE)</f>
        <v>0</v>
      </c>
      <c r="AH379" s="250"/>
      <c r="AI379" s="142">
        <f>AK379/сред</f>
        <v>0</v>
      </c>
      <c r="AJ379" s="143"/>
      <c r="AK379" s="146">
        <f>SUM(G380:AG380)</f>
        <v>0</v>
      </c>
      <c r="AL379" s="146"/>
      <c r="AM379" s="252">
        <f>IF(AK379=0,0,Таблиця!BT471)</f>
        <v>0</v>
      </c>
      <c r="AN379" s="132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9"/>
      <c r="B380" s="140"/>
      <c r="C380" s="140"/>
      <c r="D380" s="140"/>
      <c r="E380" s="141"/>
      <c r="F380" s="105" t="s">
        <v>96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>
        <f t="shared" si="332"/>
      </c>
      <c r="L380" s="122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/>
      <c r="AF380" s="23">
        <f t="shared" si="332"/>
      </c>
      <c r="AG380" s="83">
        <f t="shared" si="332"/>
      </c>
      <c r="AH380" s="251"/>
      <c r="AI380" s="142"/>
      <c r="AJ380" s="143"/>
      <c r="AK380" s="146"/>
      <c r="AL380" s="146"/>
      <c r="AM380" s="253"/>
      <c r="AN380" s="133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6"/>
      <c r="B381" s="137"/>
      <c r="C381" s="137"/>
      <c r="D381" s="137"/>
      <c r="E381" s="138"/>
      <c r="F381" s="104" t="s">
        <v>95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6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>
        <f>VLOOKUP(обед4,таб,191,FALSE)</f>
        <v>0</v>
      </c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/>
      <c r="AF381" s="33">
        <f>VLOOKUP(ужин7,таб,191,FALSE)</f>
        <v>0</v>
      </c>
      <c r="AG381" s="87">
        <f>VLOOKUP(ужин8,таб,191,FALSE)</f>
        <v>0</v>
      </c>
      <c r="AH381" s="250"/>
      <c r="AI381" s="142">
        <f>AK381/сред</f>
        <v>0</v>
      </c>
      <c r="AJ381" s="143"/>
      <c r="AK381" s="146">
        <f>SUM(G382:AG382)</f>
        <v>0</v>
      </c>
      <c r="AL381" s="146"/>
      <c r="AM381" s="252">
        <f>IF(AK381=0,0,Таблиця!BT473)</f>
        <v>0</v>
      </c>
      <c r="AN381" s="132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9"/>
      <c r="B382" s="140"/>
      <c r="C382" s="140"/>
      <c r="D382" s="140"/>
      <c r="E382" s="141"/>
      <c r="F382" s="105" t="s">
        <v>96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>
        <f t="shared" si="333"/>
      </c>
      <c r="L382" s="122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/>
      <c r="AF382" s="23">
        <f t="shared" si="333"/>
      </c>
      <c r="AG382" s="83">
        <f t="shared" si="333"/>
      </c>
      <c r="AH382" s="251"/>
      <c r="AI382" s="142"/>
      <c r="AJ382" s="143"/>
      <c r="AK382" s="146"/>
      <c r="AL382" s="146"/>
      <c r="AM382" s="253"/>
      <c r="AN382" s="133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6"/>
      <c r="B383" s="137"/>
      <c r="C383" s="137"/>
      <c r="D383" s="137"/>
      <c r="E383" s="138"/>
      <c r="F383" s="104" t="s">
        <v>95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6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>
        <f>VLOOKUP(обед4,таб,192,FALSE)</f>
        <v>0</v>
      </c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/>
      <c r="AF383" s="33">
        <f>VLOOKUP(ужин7,таб,192,FALSE)</f>
        <v>0</v>
      </c>
      <c r="AG383" s="87">
        <f>VLOOKUP(ужин8,таб,192,FALSE)</f>
        <v>0</v>
      </c>
      <c r="AH383" s="250"/>
      <c r="AI383" s="142">
        <f>AK383/сред</f>
        <v>0</v>
      </c>
      <c r="AJ383" s="143"/>
      <c r="AK383" s="146">
        <f>SUM(G384:AG384)</f>
        <v>0</v>
      </c>
      <c r="AL383" s="146"/>
      <c r="AM383" s="252">
        <f>IF(AK383=0,0,Таблиця!BT475)</f>
        <v>0</v>
      </c>
      <c r="AN383" s="132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9"/>
      <c r="B384" s="140"/>
      <c r="C384" s="140"/>
      <c r="D384" s="140"/>
      <c r="E384" s="141"/>
      <c r="F384" s="105" t="s">
        <v>96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>
        <f t="shared" si="334"/>
      </c>
      <c r="L384" s="122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/>
      <c r="AF384" s="23">
        <f t="shared" si="334"/>
      </c>
      <c r="AG384" s="83">
        <f t="shared" si="334"/>
      </c>
      <c r="AH384" s="251"/>
      <c r="AI384" s="142"/>
      <c r="AJ384" s="143"/>
      <c r="AK384" s="146"/>
      <c r="AL384" s="146"/>
      <c r="AM384" s="253"/>
      <c r="AN384" s="133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6"/>
      <c r="B385" s="137"/>
      <c r="C385" s="137"/>
      <c r="D385" s="137"/>
      <c r="E385" s="138"/>
      <c r="F385" s="104" t="s">
        <v>95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6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>
        <f>VLOOKUP(обед4,таб,193,FALSE)</f>
        <v>0</v>
      </c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/>
      <c r="AF385" s="33">
        <f>VLOOKUP(ужин7,таб,193,FALSE)</f>
        <v>0</v>
      </c>
      <c r="AG385" s="87">
        <f>VLOOKUP(ужин8,таб,193,FALSE)</f>
        <v>0</v>
      </c>
      <c r="AH385" s="250"/>
      <c r="AI385" s="142">
        <f>AK385/сред</f>
        <v>0</v>
      </c>
      <c r="AJ385" s="143"/>
      <c r="AK385" s="146">
        <f>SUM(G386:AG386)</f>
        <v>0</v>
      </c>
      <c r="AL385" s="146"/>
      <c r="AM385" s="252">
        <f>IF(AK385=0,0,Таблиця!BT477)</f>
        <v>0</v>
      </c>
      <c r="AN385" s="132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9"/>
      <c r="B386" s="140"/>
      <c r="C386" s="140"/>
      <c r="D386" s="140"/>
      <c r="E386" s="141"/>
      <c r="F386" s="105" t="s">
        <v>96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>
        <f t="shared" si="335"/>
      </c>
      <c r="L386" s="122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/>
      <c r="AF386" s="23">
        <f t="shared" si="335"/>
      </c>
      <c r="AG386" s="83">
        <f t="shared" si="335"/>
      </c>
      <c r="AH386" s="251"/>
      <c r="AI386" s="142"/>
      <c r="AJ386" s="143"/>
      <c r="AK386" s="146"/>
      <c r="AL386" s="146"/>
      <c r="AM386" s="253"/>
      <c r="AN386" s="133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6"/>
      <c r="B387" s="137"/>
      <c r="C387" s="137"/>
      <c r="D387" s="137"/>
      <c r="E387" s="138"/>
      <c r="F387" s="104" t="s">
        <v>95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6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>
        <f>VLOOKUP(обед4,таб,194,FALSE)</f>
        <v>0</v>
      </c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/>
      <c r="AF387" s="33">
        <f>VLOOKUP(ужин7,таб,194,FALSE)</f>
        <v>0</v>
      </c>
      <c r="AG387" s="87">
        <f>VLOOKUP(ужин8,таб,194,FALSE)</f>
        <v>0</v>
      </c>
      <c r="AH387" s="250"/>
      <c r="AI387" s="142">
        <f>AK387/сред</f>
        <v>0</v>
      </c>
      <c r="AJ387" s="143"/>
      <c r="AK387" s="146">
        <f>SUM(G388:AG388)</f>
        <v>0</v>
      </c>
      <c r="AL387" s="146"/>
      <c r="AM387" s="252">
        <f>IF(AK387=0,0,Таблиця!BT479)</f>
        <v>0</v>
      </c>
      <c r="AN387" s="132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9"/>
      <c r="B388" s="140"/>
      <c r="C388" s="140"/>
      <c r="D388" s="140"/>
      <c r="E388" s="141"/>
      <c r="F388" s="105" t="s">
        <v>96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>
        <f t="shared" si="336"/>
      </c>
      <c r="L388" s="122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/>
      <c r="AF388" s="23">
        <f t="shared" si="336"/>
      </c>
      <c r="AG388" s="83">
        <f t="shared" si="336"/>
      </c>
      <c r="AH388" s="251"/>
      <c r="AI388" s="142"/>
      <c r="AJ388" s="143"/>
      <c r="AK388" s="146"/>
      <c r="AL388" s="146"/>
      <c r="AM388" s="253"/>
      <c r="AN388" s="133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6"/>
      <c r="B389" s="137"/>
      <c r="C389" s="137"/>
      <c r="D389" s="137"/>
      <c r="E389" s="138"/>
      <c r="F389" s="104" t="s">
        <v>95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6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>
        <f>VLOOKUP(обед4,таб,195,FALSE)</f>
        <v>0</v>
      </c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/>
      <c r="AF389" s="33">
        <f>VLOOKUP(ужин7,таб,195,FALSE)</f>
        <v>0</v>
      </c>
      <c r="AG389" s="87">
        <f>VLOOKUP(ужин8,таб,195,FALSE)</f>
        <v>0</v>
      </c>
      <c r="AH389" s="250"/>
      <c r="AI389" s="142">
        <f>AK389/сред</f>
        <v>0</v>
      </c>
      <c r="AJ389" s="143"/>
      <c r="AK389" s="146">
        <f>SUM(G390:AG390)</f>
        <v>0</v>
      </c>
      <c r="AL389" s="146"/>
      <c r="AM389" s="252">
        <f>IF(AK389=0,0,Таблиця!BT481)</f>
        <v>0</v>
      </c>
      <c r="AN389" s="132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9"/>
      <c r="B390" s="140"/>
      <c r="C390" s="140"/>
      <c r="D390" s="140"/>
      <c r="E390" s="141"/>
      <c r="F390" s="105" t="s">
        <v>96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>
        <f t="shared" si="337"/>
      </c>
      <c r="L390" s="122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/>
      <c r="AF390" s="23">
        <f t="shared" si="337"/>
      </c>
      <c r="AG390" s="83">
        <f t="shared" si="337"/>
      </c>
      <c r="AH390" s="251"/>
      <c r="AI390" s="142"/>
      <c r="AJ390" s="143"/>
      <c r="AK390" s="146"/>
      <c r="AL390" s="146"/>
      <c r="AM390" s="253"/>
      <c r="AN390" s="133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6"/>
      <c r="B391" s="137"/>
      <c r="C391" s="137"/>
      <c r="D391" s="137"/>
      <c r="E391" s="138"/>
      <c r="F391" s="104" t="s">
        <v>95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6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>
        <f>VLOOKUP(обед4,таб,196,FALSE)</f>
        <v>0</v>
      </c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/>
      <c r="AF391" s="33">
        <f>VLOOKUP(ужин7,таб,196,FALSE)</f>
        <v>0</v>
      </c>
      <c r="AG391" s="87">
        <f>VLOOKUP(ужин8,таб,196,FALSE)</f>
        <v>0</v>
      </c>
      <c r="AH391" s="250"/>
      <c r="AI391" s="142">
        <f>AK391/сред</f>
        <v>0</v>
      </c>
      <c r="AJ391" s="143"/>
      <c r="AK391" s="146">
        <f>SUM(G392:AG392)</f>
        <v>0</v>
      </c>
      <c r="AL391" s="146"/>
      <c r="AM391" s="252">
        <f>IF(AK391=0,0,Таблиця!BT483)</f>
        <v>0</v>
      </c>
      <c r="AN391" s="132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9"/>
      <c r="B392" s="140"/>
      <c r="C392" s="140"/>
      <c r="D392" s="140"/>
      <c r="E392" s="141"/>
      <c r="F392" s="105" t="s">
        <v>96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>
        <f t="shared" si="338"/>
      </c>
      <c r="L392" s="122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/>
      <c r="AF392" s="23">
        <f t="shared" si="338"/>
      </c>
      <c r="AG392" s="83">
        <f t="shared" si="338"/>
      </c>
      <c r="AH392" s="251"/>
      <c r="AI392" s="142"/>
      <c r="AJ392" s="143"/>
      <c r="AK392" s="146"/>
      <c r="AL392" s="146"/>
      <c r="AM392" s="253"/>
      <c r="AN392" s="133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6"/>
      <c r="B393" s="137"/>
      <c r="C393" s="137"/>
      <c r="D393" s="137"/>
      <c r="E393" s="138"/>
      <c r="F393" s="104" t="s">
        <v>95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6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>
        <f>VLOOKUP(обед4,таб,197,FALSE)</f>
        <v>0</v>
      </c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/>
      <c r="AF393" s="33">
        <f>VLOOKUP(ужин7,таб,197,FALSE)</f>
        <v>0</v>
      </c>
      <c r="AG393" s="87">
        <f>VLOOKUP(ужин8,таб,197,FALSE)</f>
        <v>0</v>
      </c>
      <c r="AH393" s="250"/>
      <c r="AI393" s="142">
        <f>AK393/сред</f>
        <v>0</v>
      </c>
      <c r="AJ393" s="143"/>
      <c r="AK393" s="146">
        <f>SUM(G394:AG394)</f>
        <v>0</v>
      </c>
      <c r="AL393" s="146"/>
      <c r="AM393" s="252">
        <f>IF(AK393=0,0,Таблиця!BT485)</f>
        <v>0</v>
      </c>
      <c r="AN393" s="132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9"/>
      <c r="B394" s="140"/>
      <c r="C394" s="140"/>
      <c r="D394" s="140"/>
      <c r="E394" s="141"/>
      <c r="F394" s="105" t="s">
        <v>96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>
        <f t="shared" si="339"/>
      </c>
      <c r="L394" s="122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/>
      <c r="AF394" s="23">
        <f t="shared" si="339"/>
      </c>
      <c r="AG394" s="83">
        <f t="shared" si="339"/>
      </c>
      <c r="AH394" s="251"/>
      <c r="AI394" s="142"/>
      <c r="AJ394" s="143"/>
      <c r="AK394" s="146"/>
      <c r="AL394" s="146"/>
      <c r="AM394" s="253"/>
      <c r="AN394" s="133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6"/>
      <c r="B395" s="137"/>
      <c r="C395" s="137"/>
      <c r="D395" s="137"/>
      <c r="E395" s="138"/>
      <c r="F395" s="104" t="s">
        <v>95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6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>
        <f>VLOOKUP(обед4,таб,198,FALSE)</f>
        <v>0</v>
      </c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/>
      <c r="AF395" s="33">
        <f>VLOOKUP(ужин7,таб,198,FALSE)</f>
        <v>0</v>
      </c>
      <c r="AG395" s="87">
        <f>VLOOKUP(ужин8,таб,198,FALSE)</f>
        <v>0</v>
      </c>
      <c r="AH395" s="250"/>
      <c r="AI395" s="142">
        <f>AK395/сред</f>
        <v>0</v>
      </c>
      <c r="AJ395" s="143"/>
      <c r="AK395" s="146">
        <f>SUM(G396:AG396)</f>
        <v>0</v>
      </c>
      <c r="AL395" s="146"/>
      <c r="AM395" s="252">
        <f>IF(AK395=0,0,Таблиця!BT487)</f>
        <v>0</v>
      </c>
      <c r="AN395" s="132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9"/>
      <c r="B396" s="140"/>
      <c r="C396" s="140"/>
      <c r="D396" s="140"/>
      <c r="E396" s="141"/>
      <c r="F396" s="105" t="s">
        <v>96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>
        <f t="shared" si="340"/>
      </c>
      <c r="L396" s="122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/>
      <c r="AF396" s="23">
        <f t="shared" si="340"/>
      </c>
      <c r="AG396" s="83">
        <f t="shared" si="340"/>
      </c>
      <c r="AH396" s="251"/>
      <c r="AI396" s="142"/>
      <c r="AJ396" s="143"/>
      <c r="AK396" s="146"/>
      <c r="AL396" s="146"/>
      <c r="AM396" s="253"/>
      <c r="AN396" s="133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6"/>
      <c r="B397" s="137"/>
      <c r="C397" s="137"/>
      <c r="D397" s="137"/>
      <c r="E397" s="138"/>
      <c r="F397" s="104" t="s">
        <v>95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6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>
        <f>VLOOKUP(обед4,таб,199,FALSE)</f>
        <v>0</v>
      </c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/>
      <c r="AF397" s="33">
        <f>VLOOKUP(ужин7,таб,199,FALSE)</f>
        <v>0</v>
      </c>
      <c r="AG397" s="87">
        <f>VLOOKUP(ужин8,таб,199,FALSE)</f>
        <v>0</v>
      </c>
      <c r="AH397" s="250"/>
      <c r="AI397" s="142">
        <f>AK397/сред</f>
        <v>0</v>
      </c>
      <c r="AJ397" s="143"/>
      <c r="AK397" s="146">
        <f>SUM(G398:AG398)</f>
        <v>0</v>
      </c>
      <c r="AL397" s="146"/>
      <c r="AM397" s="252">
        <f>IF(AK397=0,0,Таблиця!BT489)</f>
        <v>0</v>
      </c>
      <c r="AN397" s="132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9"/>
      <c r="B398" s="140"/>
      <c r="C398" s="140"/>
      <c r="D398" s="140"/>
      <c r="E398" s="141"/>
      <c r="F398" s="105" t="s">
        <v>96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>
        <f t="shared" si="341"/>
      </c>
      <c r="L398" s="122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/>
      <c r="AF398" s="23">
        <f t="shared" si="341"/>
      </c>
      <c r="AG398" s="83">
        <f t="shared" si="341"/>
      </c>
      <c r="AH398" s="251"/>
      <c r="AI398" s="142"/>
      <c r="AJ398" s="143"/>
      <c r="AK398" s="146"/>
      <c r="AL398" s="146"/>
      <c r="AM398" s="253"/>
      <c r="AN398" s="133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6"/>
      <c r="B399" s="137"/>
      <c r="C399" s="137"/>
      <c r="D399" s="137"/>
      <c r="E399" s="138"/>
      <c r="F399" s="104" t="s">
        <v>95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6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>
        <f>VLOOKUP(обед4,таб,200,FALSE)</f>
        <v>0</v>
      </c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/>
      <c r="AF399" s="33">
        <f>VLOOKUP(ужин7,таб,200,FALSE)</f>
        <v>0</v>
      </c>
      <c r="AG399" s="87">
        <f>VLOOKUP(ужин8,таб,200,FALSE)</f>
        <v>0</v>
      </c>
      <c r="AH399" s="250"/>
      <c r="AI399" s="142">
        <f>AK399/сред</f>
        <v>0</v>
      </c>
      <c r="AJ399" s="143"/>
      <c r="AK399" s="146">
        <f>SUM(G400:AG400)</f>
        <v>0</v>
      </c>
      <c r="AL399" s="146"/>
      <c r="AM399" s="252">
        <f>IF(AK399=0,0,Таблиця!BT491)</f>
        <v>0</v>
      </c>
      <c r="AN399" s="132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9"/>
      <c r="B400" s="140"/>
      <c r="C400" s="140"/>
      <c r="D400" s="140"/>
      <c r="E400" s="141"/>
      <c r="F400" s="105" t="s">
        <v>96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>
        <f t="shared" si="342"/>
      </c>
      <c r="L400" s="122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/>
      <c r="AF400" s="23">
        <f t="shared" si="342"/>
      </c>
      <c r="AG400" s="83">
        <f t="shared" si="342"/>
      </c>
      <c r="AH400" s="251"/>
      <c r="AI400" s="142"/>
      <c r="AJ400" s="143"/>
      <c r="AK400" s="146"/>
      <c r="AL400" s="146"/>
      <c r="AM400" s="253"/>
      <c r="AN400" s="133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6"/>
      <c r="B401" s="137"/>
      <c r="C401" s="137"/>
      <c r="D401" s="137"/>
      <c r="E401" s="138"/>
      <c r="F401" s="104" t="s">
        <v>95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6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>
        <f>VLOOKUP(обед4,таб,201,FALSE)</f>
        <v>0</v>
      </c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/>
      <c r="AF401" s="33">
        <f>VLOOKUP(ужин7,таб,201,FALSE)</f>
        <v>0</v>
      </c>
      <c r="AG401" s="87">
        <f>VLOOKUP(ужин8,таб,201,FALSE)</f>
        <v>0</v>
      </c>
      <c r="AH401" s="250"/>
      <c r="AI401" s="142">
        <f>AK401/сред</f>
        <v>0</v>
      </c>
      <c r="AJ401" s="143"/>
      <c r="AK401" s="146">
        <f>SUM(G402:AG402)</f>
        <v>0</v>
      </c>
      <c r="AL401" s="146"/>
      <c r="AM401" s="252">
        <f>IF(AK401=0,0,Таблиця!BT493)</f>
        <v>0</v>
      </c>
      <c r="AN401" s="132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9"/>
      <c r="B402" s="140"/>
      <c r="C402" s="140"/>
      <c r="D402" s="140"/>
      <c r="E402" s="141"/>
      <c r="F402" s="105" t="s">
        <v>96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>
        <f t="shared" si="343"/>
      </c>
      <c r="L402" s="122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/>
      <c r="AF402" s="23">
        <f t="shared" si="343"/>
      </c>
      <c r="AG402" s="83">
        <f t="shared" si="343"/>
      </c>
      <c r="AH402" s="251"/>
      <c r="AI402" s="142"/>
      <c r="AJ402" s="143"/>
      <c r="AK402" s="146"/>
      <c r="AL402" s="146"/>
      <c r="AM402" s="253"/>
      <c r="AN402" s="133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6"/>
      <c r="B403" s="137"/>
      <c r="C403" s="137"/>
      <c r="D403" s="137"/>
      <c r="E403" s="138"/>
      <c r="F403" s="104" t="s">
        <v>95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6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>
        <f>VLOOKUP(обед4,таб,202,FALSE)</f>
        <v>0</v>
      </c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/>
      <c r="AF403" s="33">
        <f>VLOOKUP(ужин7,таб,202,FALSE)</f>
        <v>0</v>
      </c>
      <c r="AG403" s="87">
        <f>VLOOKUP(ужин8,таб,202,FALSE)</f>
        <v>0</v>
      </c>
      <c r="AH403" s="250"/>
      <c r="AI403" s="142">
        <f>AK403/сред</f>
        <v>0</v>
      </c>
      <c r="AJ403" s="143"/>
      <c r="AK403" s="146">
        <f>SUM(G404:AG404)</f>
        <v>0</v>
      </c>
      <c r="AL403" s="146"/>
      <c r="AM403" s="252">
        <f>IF(AK403=0,0,Таблиця!BT495)</f>
        <v>0</v>
      </c>
      <c r="AN403" s="132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9"/>
      <c r="B404" s="140"/>
      <c r="C404" s="140"/>
      <c r="D404" s="140"/>
      <c r="E404" s="141"/>
      <c r="F404" s="105" t="s">
        <v>96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>
        <f t="shared" si="344"/>
      </c>
      <c r="L404" s="122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/>
      <c r="AF404" s="23">
        <f t="shared" si="344"/>
      </c>
      <c r="AG404" s="83">
        <f t="shared" si="344"/>
      </c>
      <c r="AH404" s="251"/>
      <c r="AI404" s="142"/>
      <c r="AJ404" s="143"/>
      <c r="AK404" s="146"/>
      <c r="AL404" s="146"/>
      <c r="AM404" s="253"/>
      <c r="AN404" s="133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6"/>
      <c r="B405" s="137"/>
      <c r="C405" s="137"/>
      <c r="D405" s="137"/>
      <c r="E405" s="138"/>
      <c r="F405" s="104" t="s">
        <v>95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6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>
        <f>VLOOKUP(обед4,таб,203,FALSE)</f>
        <v>0</v>
      </c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/>
      <c r="AF405" s="33">
        <f>VLOOKUP(ужин7,таб,203,FALSE)</f>
        <v>0</v>
      </c>
      <c r="AG405" s="87">
        <f>VLOOKUP(ужин8,таб,203,FALSE)</f>
        <v>0</v>
      </c>
      <c r="AH405" s="250"/>
      <c r="AI405" s="142">
        <f>AK405/сред</f>
        <v>0</v>
      </c>
      <c r="AJ405" s="143"/>
      <c r="AK405" s="146">
        <f>SUM(G406:AG406)</f>
        <v>0</v>
      </c>
      <c r="AL405" s="146"/>
      <c r="AM405" s="252">
        <f>IF(AK405=0,0,Таблиця!BT497)</f>
        <v>0</v>
      </c>
      <c r="AN405" s="132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9"/>
      <c r="B406" s="140"/>
      <c r="C406" s="140"/>
      <c r="D406" s="140"/>
      <c r="E406" s="141"/>
      <c r="F406" s="105" t="s">
        <v>96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>
        <f t="shared" si="345"/>
      </c>
      <c r="L406" s="122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/>
      <c r="AF406" s="23">
        <f t="shared" si="345"/>
      </c>
      <c r="AG406" s="83">
        <f t="shared" si="345"/>
      </c>
      <c r="AH406" s="251"/>
      <c r="AI406" s="142"/>
      <c r="AJ406" s="143"/>
      <c r="AK406" s="146"/>
      <c r="AL406" s="146"/>
      <c r="AM406" s="253"/>
      <c r="AN406" s="133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6"/>
      <c r="B407" s="137"/>
      <c r="C407" s="137"/>
      <c r="D407" s="137"/>
      <c r="E407" s="138"/>
      <c r="F407" s="104" t="s">
        <v>95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6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>
        <f>VLOOKUP(обед4,таб,204,FALSE)</f>
        <v>0</v>
      </c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/>
      <c r="AF407" s="33">
        <f>VLOOKUP(ужин7,таб,204,FALSE)</f>
        <v>0</v>
      </c>
      <c r="AG407" s="87">
        <f>VLOOKUP(ужин8,таб,204,FALSE)</f>
        <v>0</v>
      </c>
      <c r="AH407" s="250"/>
      <c r="AI407" s="142">
        <f>AK407/сред</f>
        <v>0</v>
      </c>
      <c r="AJ407" s="143"/>
      <c r="AK407" s="146">
        <f>SUM(G408:AG408)</f>
        <v>0</v>
      </c>
      <c r="AL407" s="146"/>
      <c r="AM407" s="252">
        <f>IF(AK407=0,0,Таблиця!BT499)</f>
        <v>0</v>
      </c>
      <c r="AN407" s="132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9"/>
      <c r="B408" s="140"/>
      <c r="C408" s="140"/>
      <c r="D408" s="140"/>
      <c r="E408" s="141"/>
      <c r="F408" s="105" t="s">
        <v>96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>
        <f t="shared" si="346"/>
      </c>
      <c r="L408" s="122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/>
      <c r="AF408" s="23">
        <f t="shared" si="346"/>
      </c>
      <c r="AG408" s="83">
        <f t="shared" si="346"/>
      </c>
      <c r="AH408" s="251"/>
      <c r="AI408" s="142"/>
      <c r="AJ408" s="143"/>
      <c r="AK408" s="146"/>
      <c r="AL408" s="146"/>
      <c r="AM408" s="253"/>
      <c r="AN408" s="133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6"/>
      <c r="B409" s="137"/>
      <c r="C409" s="137"/>
      <c r="D409" s="137"/>
      <c r="E409" s="138"/>
      <c r="F409" s="104" t="s">
        <v>95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6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>
        <f>VLOOKUP(обед4,таб,205,FALSE)</f>
        <v>0</v>
      </c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/>
      <c r="AF409" s="33">
        <f>VLOOKUP(ужин7,таб,205,FALSE)</f>
        <v>0</v>
      </c>
      <c r="AG409" s="87">
        <f>VLOOKUP(ужин8,таб,205,FALSE)</f>
        <v>0</v>
      </c>
      <c r="AH409" s="250"/>
      <c r="AI409" s="142">
        <f>AK409/сред</f>
        <v>0</v>
      </c>
      <c r="AJ409" s="143"/>
      <c r="AK409" s="146">
        <f>SUM(G410:AG410)</f>
        <v>0</v>
      </c>
      <c r="AL409" s="146"/>
      <c r="AM409" s="252">
        <f>IF(AK409=0,0,Таблиця!BT501)</f>
        <v>0</v>
      </c>
      <c r="AN409" s="132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9"/>
      <c r="B410" s="140"/>
      <c r="C410" s="140"/>
      <c r="D410" s="140"/>
      <c r="E410" s="141"/>
      <c r="F410" s="105" t="s">
        <v>96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>
        <f t="shared" si="347"/>
      </c>
      <c r="L410" s="122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/>
      <c r="AF410" s="23">
        <f t="shared" si="347"/>
      </c>
      <c r="AG410" s="83">
        <f t="shared" si="347"/>
      </c>
      <c r="AH410" s="251"/>
      <c r="AI410" s="142"/>
      <c r="AJ410" s="143"/>
      <c r="AK410" s="146"/>
      <c r="AL410" s="146"/>
      <c r="AM410" s="253"/>
      <c r="AN410" s="133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6"/>
      <c r="B411" s="137"/>
      <c r="C411" s="137"/>
      <c r="D411" s="137"/>
      <c r="E411" s="138"/>
      <c r="F411" s="104" t="s">
        <v>95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6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>
        <f>VLOOKUP(обед4,таб,206,FALSE)</f>
        <v>0</v>
      </c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/>
      <c r="AF411" s="33">
        <f>VLOOKUP(ужин7,таб,206,FALSE)</f>
        <v>0</v>
      </c>
      <c r="AG411" s="87">
        <f>VLOOKUP(ужин8,таб,206,FALSE)</f>
        <v>0</v>
      </c>
      <c r="AH411" s="250"/>
      <c r="AI411" s="142">
        <f>AK411/сред</f>
        <v>0</v>
      </c>
      <c r="AJ411" s="143"/>
      <c r="AK411" s="146">
        <f>SUM(G412:AG412)</f>
        <v>0</v>
      </c>
      <c r="AL411" s="146"/>
      <c r="AM411" s="252">
        <f>IF(AK411=0,0,Таблиця!BT503)</f>
        <v>0</v>
      </c>
      <c r="AN411" s="132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9"/>
      <c r="B412" s="140"/>
      <c r="C412" s="140"/>
      <c r="D412" s="140"/>
      <c r="E412" s="141"/>
      <c r="F412" s="105" t="s">
        <v>96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>
        <f t="shared" si="348"/>
      </c>
      <c r="L412" s="122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/>
      <c r="AF412" s="23">
        <f t="shared" si="348"/>
      </c>
      <c r="AG412" s="83">
        <f t="shared" si="348"/>
      </c>
      <c r="AH412" s="251"/>
      <c r="AI412" s="142"/>
      <c r="AJ412" s="143"/>
      <c r="AK412" s="146"/>
      <c r="AL412" s="146"/>
      <c r="AM412" s="253"/>
      <c r="AN412" s="133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6"/>
      <c r="B413" s="137"/>
      <c r="C413" s="137"/>
      <c r="D413" s="137"/>
      <c r="E413" s="138"/>
      <c r="F413" s="104" t="s">
        <v>95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6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>
        <f>VLOOKUP(обед4,таб,207,FALSE)</f>
        <v>0</v>
      </c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/>
      <c r="AF413" s="33">
        <f>VLOOKUP(ужин7,таб,207,FALSE)</f>
        <v>0</v>
      </c>
      <c r="AG413" s="87">
        <f>VLOOKUP(ужин8,таб,207,FALSE)</f>
        <v>0</v>
      </c>
      <c r="AH413" s="250"/>
      <c r="AI413" s="142">
        <f>AK413/сред</f>
        <v>0</v>
      </c>
      <c r="AJ413" s="143"/>
      <c r="AK413" s="146">
        <f>SUM(G414:AG414)</f>
        <v>0</v>
      </c>
      <c r="AL413" s="146"/>
      <c r="AM413" s="252">
        <f>IF(AK413=0,0,Таблиця!BT505)</f>
        <v>0</v>
      </c>
      <c r="AN413" s="132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9"/>
      <c r="B414" s="140"/>
      <c r="C414" s="140"/>
      <c r="D414" s="140"/>
      <c r="E414" s="141"/>
      <c r="F414" s="105" t="s">
        <v>96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>
        <f t="shared" si="349"/>
      </c>
      <c r="L414" s="122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/>
      <c r="AF414" s="23">
        <f t="shared" si="349"/>
      </c>
      <c r="AG414" s="83">
        <f t="shared" si="349"/>
      </c>
      <c r="AH414" s="251"/>
      <c r="AI414" s="142"/>
      <c r="AJ414" s="143"/>
      <c r="AK414" s="146"/>
      <c r="AL414" s="146"/>
      <c r="AM414" s="253"/>
      <c r="AN414" s="133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6"/>
      <c r="B415" s="137"/>
      <c r="C415" s="137"/>
      <c r="D415" s="137"/>
      <c r="E415" s="138"/>
      <c r="F415" s="104" t="s">
        <v>95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6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>
        <f>VLOOKUP(обед4,таб,208,FALSE)</f>
        <v>0</v>
      </c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/>
      <c r="AF415" s="33">
        <f>VLOOKUP(ужин7,таб,208,FALSE)</f>
        <v>0</v>
      </c>
      <c r="AG415" s="87">
        <f>VLOOKUP(ужин8,таб,208,FALSE)</f>
        <v>0</v>
      </c>
      <c r="AH415" s="250"/>
      <c r="AI415" s="142">
        <f>AK415/сред</f>
        <v>0</v>
      </c>
      <c r="AJ415" s="143"/>
      <c r="AK415" s="146">
        <f>SUM(G416:AG416)</f>
        <v>0</v>
      </c>
      <c r="AL415" s="146"/>
      <c r="AM415" s="252">
        <f>IF(AK415=0,0,Таблиця!BT507)</f>
        <v>0</v>
      </c>
      <c r="AN415" s="132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9"/>
      <c r="B416" s="140"/>
      <c r="C416" s="140"/>
      <c r="D416" s="140"/>
      <c r="E416" s="141"/>
      <c r="F416" s="105" t="s">
        <v>96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>
        <f t="shared" si="350"/>
      </c>
      <c r="L416" s="122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/>
      <c r="AF416" s="23">
        <f t="shared" si="350"/>
      </c>
      <c r="AG416" s="83">
        <f t="shared" si="350"/>
      </c>
      <c r="AH416" s="251"/>
      <c r="AI416" s="142"/>
      <c r="AJ416" s="143"/>
      <c r="AK416" s="146"/>
      <c r="AL416" s="146"/>
      <c r="AM416" s="253"/>
      <c r="AN416" s="133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6"/>
      <c r="B417" s="137"/>
      <c r="C417" s="137"/>
      <c r="D417" s="137"/>
      <c r="E417" s="138"/>
      <c r="F417" s="104" t="s">
        <v>95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6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>
        <f>VLOOKUP(обед4,таб,209,FALSE)</f>
        <v>0</v>
      </c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/>
      <c r="AF417" s="33">
        <f>VLOOKUP(ужин7,таб,209,FALSE)</f>
        <v>0</v>
      </c>
      <c r="AG417" s="87">
        <f>VLOOKUP(ужин8,таб,209,FALSE)</f>
        <v>0</v>
      </c>
      <c r="AH417" s="250"/>
      <c r="AI417" s="142">
        <f>AK417/сред</f>
        <v>0</v>
      </c>
      <c r="AJ417" s="143"/>
      <c r="AK417" s="146">
        <f>SUM(G418:AG418)</f>
        <v>0</v>
      </c>
      <c r="AL417" s="146"/>
      <c r="AM417" s="252">
        <f>IF(AK417=0,0,Таблиця!BT509)</f>
        <v>0</v>
      </c>
      <c r="AN417" s="132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9"/>
      <c r="B418" s="140"/>
      <c r="C418" s="140"/>
      <c r="D418" s="140"/>
      <c r="E418" s="141"/>
      <c r="F418" s="105" t="s">
        <v>96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>
        <f t="shared" si="351"/>
      </c>
      <c r="L418" s="122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/>
      <c r="AF418" s="23">
        <f t="shared" si="351"/>
      </c>
      <c r="AG418" s="83">
        <f t="shared" si="351"/>
      </c>
      <c r="AH418" s="251"/>
      <c r="AI418" s="142"/>
      <c r="AJ418" s="143"/>
      <c r="AK418" s="146"/>
      <c r="AL418" s="146"/>
      <c r="AM418" s="253"/>
      <c r="AN418" s="133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6"/>
      <c r="B419" s="137"/>
      <c r="C419" s="137"/>
      <c r="D419" s="137"/>
      <c r="E419" s="138"/>
      <c r="F419" s="104" t="s">
        <v>95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6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>
        <f>VLOOKUP(обед4,таб,210,FALSE)</f>
        <v>0</v>
      </c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/>
      <c r="AF419" s="33">
        <f>VLOOKUP(ужин7,таб,210,FALSE)</f>
        <v>0</v>
      </c>
      <c r="AG419" s="87">
        <f>VLOOKUP(ужин8,таб,210,FALSE)</f>
        <v>0</v>
      </c>
      <c r="AH419" s="250"/>
      <c r="AI419" s="142">
        <f>AK419/сред</f>
        <v>0</v>
      </c>
      <c r="AJ419" s="143"/>
      <c r="AK419" s="146">
        <f>SUM(G420:AG420)</f>
        <v>0</v>
      </c>
      <c r="AL419" s="146"/>
      <c r="AM419" s="252">
        <f>IF(AK419=0,0,Таблиця!BT511)</f>
        <v>0</v>
      </c>
      <c r="AN419" s="132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9"/>
      <c r="B420" s="140"/>
      <c r="C420" s="140"/>
      <c r="D420" s="140"/>
      <c r="E420" s="141"/>
      <c r="F420" s="105" t="s">
        <v>96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>
        <f t="shared" si="352"/>
      </c>
      <c r="L420" s="122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/>
      <c r="AF420" s="23">
        <f t="shared" si="352"/>
      </c>
      <c r="AG420" s="83">
        <f t="shared" si="352"/>
      </c>
      <c r="AH420" s="251"/>
      <c r="AI420" s="142"/>
      <c r="AJ420" s="143"/>
      <c r="AK420" s="146"/>
      <c r="AL420" s="146"/>
      <c r="AM420" s="253"/>
      <c r="AN420" s="133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6"/>
      <c r="B421" s="137"/>
      <c r="C421" s="137"/>
      <c r="D421" s="137"/>
      <c r="E421" s="138"/>
      <c r="F421" s="104" t="s">
        <v>95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6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>
        <f>VLOOKUP(обед4,таб,211,FALSE)</f>
        <v>0</v>
      </c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/>
      <c r="AF421" s="33">
        <f>VLOOKUP(ужин7,таб,211,FALSE)</f>
        <v>0</v>
      </c>
      <c r="AG421" s="87">
        <f>VLOOKUP(ужин8,таб,211,FALSE)</f>
        <v>0</v>
      </c>
      <c r="AH421" s="250"/>
      <c r="AI421" s="142">
        <f>AK421/сред</f>
        <v>0</v>
      </c>
      <c r="AJ421" s="143"/>
      <c r="AK421" s="146">
        <f>SUM(G422:AG422)</f>
        <v>0</v>
      </c>
      <c r="AL421" s="146"/>
      <c r="AM421" s="252">
        <f>IF(AK421=0,0,Таблиця!BT513)</f>
        <v>0</v>
      </c>
      <c r="AN421" s="132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9"/>
      <c r="B422" s="140"/>
      <c r="C422" s="140"/>
      <c r="D422" s="140"/>
      <c r="E422" s="141"/>
      <c r="F422" s="105" t="s">
        <v>96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>
        <f t="shared" si="353"/>
      </c>
      <c r="L422" s="122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/>
      <c r="AF422" s="23">
        <f t="shared" si="353"/>
      </c>
      <c r="AG422" s="83">
        <f t="shared" si="353"/>
      </c>
      <c r="AH422" s="251"/>
      <c r="AI422" s="142"/>
      <c r="AJ422" s="143"/>
      <c r="AK422" s="146"/>
      <c r="AL422" s="146"/>
      <c r="AM422" s="253"/>
      <c r="AN422" s="133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6"/>
      <c r="B423" s="137"/>
      <c r="C423" s="137"/>
      <c r="D423" s="137"/>
      <c r="E423" s="138"/>
      <c r="F423" s="104" t="s">
        <v>95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6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>
        <f>VLOOKUP(обед4,таб,212,FALSE)</f>
        <v>0</v>
      </c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/>
      <c r="AF423" s="33">
        <f>VLOOKUP(ужин7,таб,212,FALSE)</f>
        <v>0</v>
      </c>
      <c r="AG423" s="87">
        <f>VLOOKUP(ужин8,таб,212,FALSE)</f>
        <v>0</v>
      </c>
      <c r="AH423" s="250"/>
      <c r="AI423" s="142">
        <f>AK423/сред</f>
        <v>0</v>
      </c>
      <c r="AJ423" s="143"/>
      <c r="AK423" s="146">
        <f>SUM(G424:AG424)</f>
        <v>0</v>
      </c>
      <c r="AL423" s="146"/>
      <c r="AM423" s="252">
        <f>IF(AK423=0,0,Таблиця!BT515)</f>
        <v>0</v>
      </c>
      <c r="AN423" s="132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9"/>
      <c r="B424" s="140"/>
      <c r="C424" s="140"/>
      <c r="D424" s="140"/>
      <c r="E424" s="141"/>
      <c r="F424" s="105" t="s">
        <v>96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>
        <f t="shared" si="354"/>
      </c>
      <c r="L424" s="122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/>
      <c r="AF424" s="23">
        <f t="shared" si="354"/>
      </c>
      <c r="AG424" s="83">
        <f t="shared" si="354"/>
      </c>
      <c r="AH424" s="251"/>
      <c r="AI424" s="142"/>
      <c r="AJ424" s="143"/>
      <c r="AK424" s="146"/>
      <c r="AL424" s="146"/>
      <c r="AM424" s="253"/>
      <c r="AN424" s="133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6"/>
      <c r="B425" s="137"/>
      <c r="C425" s="137"/>
      <c r="D425" s="137"/>
      <c r="E425" s="138"/>
      <c r="F425" s="104" t="s">
        <v>95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6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>
        <f>VLOOKUP(обед4,таб,213,FALSE)</f>
        <v>0</v>
      </c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/>
      <c r="AF425" s="33">
        <f>VLOOKUP(ужин7,таб,213,FALSE)</f>
        <v>0</v>
      </c>
      <c r="AG425" s="87">
        <f>VLOOKUP(ужин8,таб,213,FALSE)</f>
        <v>0</v>
      </c>
      <c r="AH425" s="250"/>
      <c r="AI425" s="142">
        <f>AK425/сред</f>
        <v>0</v>
      </c>
      <c r="AJ425" s="143"/>
      <c r="AK425" s="146">
        <f>SUM(G426:AG426)</f>
        <v>0</v>
      </c>
      <c r="AL425" s="146"/>
      <c r="AM425" s="252">
        <f>IF(AK425=0,0,Таблиця!BT517)</f>
        <v>0</v>
      </c>
      <c r="AN425" s="132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9"/>
      <c r="B426" s="140"/>
      <c r="C426" s="140"/>
      <c r="D426" s="140"/>
      <c r="E426" s="141"/>
      <c r="F426" s="105" t="s">
        <v>96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>
        <f t="shared" si="355"/>
      </c>
      <c r="L426" s="122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/>
      <c r="AF426" s="23">
        <f t="shared" si="355"/>
      </c>
      <c r="AG426" s="83">
        <f t="shared" si="355"/>
      </c>
      <c r="AH426" s="251"/>
      <c r="AI426" s="142"/>
      <c r="AJ426" s="143"/>
      <c r="AK426" s="146"/>
      <c r="AL426" s="146"/>
      <c r="AM426" s="253"/>
      <c r="AN426" s="133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6"/>
      <c r="B427" s="137"/>
      <c r="C427" s="137"/>
      <c r="D427" s="137"/>
      <c r="E427" s="138"/>
      <c r="F427" s="104" t="s">
        <v>95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6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>
        <f>VLOOKUP(обед4,таб,214,FALSE)</f>
        <v>0</v>
      </c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/>
      <c r="AF427" s="33">
        <f>VLOOKUP(ужин7,таб,214,FALSE)</f>
        <v>0</v>
      </c>
      <c r="AG427" s="87">
        <f>VLOOKUP(ужин8,таб,214,FALSE)</f>
        <v>0</v>
      </c>
      <c r="AH427" s="250"/>
      <c r="AI427" s="142">
        <f>AK427/сред</f>
        <v>0</v>
      </c>
      <c r="AJ427" s="143"/>
      <c r="AK427" s="146">
        <f>SUM(G428:AG428)</f>
        <v>0</v>
      </c>
      <c r="AL427" s="146"/>
      <c r="AM427" s="252">
        <f>IF(AK427=0,0,Таблиця!BT519)</f>
        <v>0</v>
      </c>
      <c r="AN427" s="132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9"/>
      <c r="B428" s="140"/>
      <c r="C428" s="140"/>
      <c r="D428" s="140"/>
      <c r="E428" s="141"/>
      <c r="F428" s="105" t="s">
        <v>96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>
        <f t="shared" si="356"/>
      </c>
      <c r="L428" s="122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/>
      <c r="AF428" s="23">
        <f t="shared" si="356"/>
      </c>
      <c r="AG428" s="83">
        <f t="shared" si="356"/>
      </c>
      <c r="AH428" s="251"/>
      <c r="AI428" s="142"/>
      <c r="AJ428" s="143"/>
      <c r="AK428" s="146"/>
      <c r="AL428" s="146"/>
      <c r="AM428" s="253"/>
      <c r="AN428" s="133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6"/>
      <c r="B429" s="137"/>
      <c r="C429" s="137"/>
      <c r="D429" s="137"/>
      <c r="E429" s="138"/>
      <c r="F429" s="104" t="s">
        <v>95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6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>
        <f>VLOOKUP(обед4,таб,215,FALSE)</f>
        <v>0</v>
      </c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/>
      <c r="AF429" s="33">
        <f>VLOOKUP(ужин7,таб,215,FALSE)</f>
        <v>0</v>
      </c>
      <c r="AG429" s="87">
        <f>VLOOKUP(ужин8,таб,215,FALSE)</f>
        <v>0</v>
      </c>
      <c r="AH429" s="250"/>
      <c r="AI429" s="142">
        <f>AK429/сред</f>
        <v>0</v>
      </c>
      <c r="AJ429" s="143"/>
      <c r="AK429" s="146">
        <f>SUM(G430:AG430)</f>
        <v>0</v>
      </c>
      <c r="AL429" s="146"/>
      <c r="AM429" s="252">
        <f>IF(AK429=0,0,Таблиця!BT521)</f>
        <v>0</v>
      </c>
      <c r="AN429" s="132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9"/>
      <c r="B430" s="140"/>
      <c r="C430" s="140"/>
      <c r="D430" s="140"/>
      <c r="E430" s="141"/>
      <c r="F430" s="105" t="s">
        <v>96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>
        <f t="shared" si="357"/>
      </c>
      <c r="L430" s="122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/>
      <c r="AF430" s="23">
        <f t="shared" si="357"/>
      </c>
      <c r="AG430" s="83">
        <f t="shared" si="357"/>
      </c>
      <c r="AH430" s="251"/>
      <c r="AI430" s="142"/>
      <c r="AJ430" s="143"/>
      <c r="AK430" s="146"/>
      <c r="AL430" s="146"/>
      <c r="AM430" s="253"/>
      <c r="AN430" s="133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6"/>
      <c r="B431" s="137"/>
      <c r="C431" s="137"/>
      <c r="D431" s="137"/>
      <c r="E431" s="138"/>
      <c r="F431" s="104" t="s">
        <v>95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6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>
        <f>VLOOKUP(обед4,таб,216,FALSE)</f>
        <v>0</v>
      </c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/>
      <c r="AF431" s="33">
        <f>VLOOKUP(ужин7,таб,216,FALSE)</f>
        <v>0</v>
      </c>
      <c r="AG431" s="87">
        <f>VLOOKUP(ужин8,таб,216,FALSE)</f>
        <v>0</v>
      </c>
      <c r="AH431" s="250"/>
      <c r="AI431" s="142">
        <f>AK431/сред</f>
        <v>0</v>
      </c>
      <c r="AJ431" s="143"/>
      <c r="AK431" s="146">
        <f>SUM(G432:AG432)</f>
        <v>0</v>
      </c>
      <c r="AL431" s="146"/>
      <c r="AM431" s="252">
        <f>IF(AK431=0,0,Таблиця!BT523)</f>
        <v>0</v>
      </c>
      <c r="AN431" s="132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9"/>
      <c r="B432" s="140"/>
      <c r="C432" s="140"/>
      <c r="D432" s="140"/>
      <c r="E432" s="141"/>
      <c r="F432" s="105" t="s">
        <v>96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>
        <f t="shared" si="358"/>
      </c>
      <c r="L432" s="122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/>
      <c r="AF432" s="23">
        <f t="shared" si="358"/>
      </c>
      <c r="AG432" s="83">
        <f t="shared" si="358"/>
      </c>
      <c r="AH432" s="251"/>
      <c r="AI432" s="142"/>
      <c r="AJ432" s="143"/>
      <c r="AK432" s="146"/>
      <c r="AL432" s="146"/>
      <c r="AM432" s="253"/>
      <c r="AN432" s="133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6"/>
      <c r="B433" s="137"/>
      <c r="C433" s="137"/>
      <c r="D433" s="137"/>
      <c r="E433" s="138"/>
      <c r="F433" s="104" t="s">
        <v>95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6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>
        <f>VLOOKUP(обед4,таб,217,FALSE)</f>
        <v>0</v>
      </c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/>
      <c r="AF433" s="33">
        <f>VLOOKUP(ужин7,таб,217,FALSE)</f>
        <v>0</v>
      </c>
      <c r="AG433" s="87">
        <f>VLOOKUP(ужин8,таб,217,FALSE)</f>
        <v>0</v>
      </c>
      <c r="AH433" s="250"/>
      <c r="AI433" s="142">
        <f>AK433/сред</f>
        <v>0</v>
      </c>
      <c r="AJ433" s="143"/>
      <c r="AK433" s="146">
        <f>SUM(G434:AG434)</f>
        <v>0</v>
      </c>
      <c r="AL433" s="146"/>
      <c r="AM433" s="252">
        <f>IF(AK433=0,0,Таблиця!BT525)</f>
        <v>0</v>
      </c>
      <c r="AN433" s="132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9"/>
      <c r="B434" s="140"/>
      <c r="C434" s="140"/>
      <c r="D434" s="140"/>
      <c r="E434" s="141"/>
      <c r="F434" s="105" t="s">
        <v>96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>
        <f t="shared" si="359"/>
      </c>
      <c r="L434" s="122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/>
      <c r="AF434" s="23">
        <f t="shared" si="359"/>
      </c>
      <c r="AG434" s="83">
        <f t="shared" si="359"/>
      </c>
      <c r="AH434" s="251"/>
      <c r="AI434" s="142"/>
      <c r="AJ434" s="143"/>
      <c r="AK434" s="146"/>
      <c r="AL434" s="146"/>
      <c r="AM434" s="253"/>
      <c r="AN434" s="133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6"/>
      <c r="B435" s="137"/>
      <c r="C435" s="137"/>
      <c r="D435" s="137"/>
      <c r="E435" s="138"/>
      <c r="F435" s="104" t="s">
        <v>95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6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>
        <f>VLOOKUP(обед4,таб,218,FALSE)</f>
        <v>0</v>
      </c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/>
      <c r="AF435" s="33">
        <f>VLOOKUP(ужин7,таб,218,FALSE)</f>
        <v>0</v>
      </c>
      <c r="AG435" s="87">
        <f>VLOOKUP(ужин8,таб,218,FALSE)</f>
        <v>0</v>
      </c>
      <c r="AH435" s="250"/>
      <c r="AI435" s="142">
        <f>AK435/сред</f>
        <v>0</v>
      </c>
      <c r="AJ435" s="143"/>
      <c r="AK435" s="146">
        <f>SUM(G436:AG436)</f>
        <v>0</v>
      </c>
      <c r="AL435" s="146"/>
      <c r="AM435" s="252">
        <f>IF(AK435=0,0,Таблиця!BT527)</f>
        <v>0</v>
      </c>
      <c r="AN435" s="132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9"/>
      <c r="B436" s="140"/>
      <c r="C436" s="140"/>
      <c r="D436" s="140"/>
      <c r="E436" s="141"/>
      <c r="F436" s="105" t="s">
        <v>96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>
        <f t="shared" si="360"/>
      </c>
      <c r="L436" s="122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/>
      <c r="AF436" s="23">
        <f t="shared" si="360"/>
      </c>
      <c r="AG436" s="83">
        <f t="shared" si="360"/>
      </c>
      <c r="AH436" s="251"/>
      <c r="AI436" s="142"/>
      <c r="AJ436" s="143"/>
      <c r="AK436" s="146"/>
      <c r="AL436" s="146"/>
      <c r="AM436" s="253"/>
      <c r="AN436" s="133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6"/>
      <c r="B437" s="137"/>
      <c r="C437" s="137"/>
      <c r="D437" s="137"/>
      <c r="E437" s="138"/>
      <c r="F437" s="104" t="s">
        <v>95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6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>
        <f>VLOOKUP(обед4,таб,219,FALSE)</f>
        <v>0</v>
      </c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/>
      <c r="AF437" s="33">
        <f>VLOOKUP(ужин7,таб,219,FALSE)</f>
        <v>0</v>
      </c>
      <c r="AG437" s="87">
        <f>VLOOKUP(ужин8,таб,219,FALSE)</f>
        <v>0</v>
      </c>
      <c r="AH437" s="250"/>
      <c r="AI437" s="142">
        <f>AK437/сред</f>
        <v>0</v>
      </c>
      <c r="AJ437" s="143"/>
      <c r="AK437" s="146">
        <f>SUM(G438:AG438)</f>
        <v>0</v>
      </c>
      <c r="AL437" s="146"/>
      <c r="AM437" s="252">
        <f>IF(AK437=0,0,Таблиця!BT529)</f>
        <v>0</v>
      </c>
      <c r="AN437" s="132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9"/>
      <c r="B438" s="140"/>
      <c r="C438" s="140"/>
      <c r="D438" s="140"/>
      <c r="E438" s="141"/>
      <c r="F438" s="105" t="s">
        <v>96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>
        <f t="shared" si="361"/>
      </c>
      <c r="L438" s="122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/>
      <c r="AF438" s="23">
        <f t="shared" si="361"/>
      </c>
      <c r="AG438" s="83">
        <f t="shared" si="361"/>
      </c>
      <c r="AH438" s="251"/>
      <c r="AI438" s="142"/>
      <c r="AJ438" s="143"/>
      <c r="AK438" s="146"/>
      <c r="AL438" s="146"/>
      <c r="AM438" s="253"/>
      <c r="AN438" s="133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6"/>
      <c r="B439" s="137"/>
      <c r="C439" s="137"/>
      <c r="D439" s="137"/>
      <c r="E439" s="138"/>
      <c r="F439" s="104" t="s">
        <v>95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6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>
        <f>VLOOKUP(обед4,таб,220,FALSE)</f>
        <v>0</v>
      </c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/>
      <c r="AF439" s="33">
        <f>VLOOKUP(ужин7,таб,220,FALSE)</f>
        <v>0</v>
      </c>
      <c r="AG439" s="87">
        <f>VLOOKUP(ужин8,таб,220,FALSE)</f>
        <v>0</v>
      </c>
      <c r="AH439" s="250"/>
      <c r="AI439" s="142">
        <f>AK439/сред</f>
        <v>0</v>
      </c>
      <c r="AJ439" s="143"/>
      <c r="AK439" s="146">
        <f>SUM(G440:AG440)</f>
        <v>0</v>
      </c>
      <c r="AL439" s="146"/>
      <c r="AM439" s="252">
        <f>IF(AK439=0,0,Таблиця!BT531)</f>
        <v>0</v>
      </c>
      <c r="AN439" s="132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9"/>
      <c r="B440" s="140"/>
      <c r="C440" s="140"/>
      <c r="D440" s="140"/>
      <c r="E440" s="141"/>
      <c r="F440" s="105" t="s">
        <v>96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>
        <f t="shared" si="362"/>
      </c>
      <c r="L440" s="122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/>
      <c r="AF440" s="23">
        <f t="shared" si="362"/>
      </c>
      <c r="AG440" s="83">
        <f t="shared" si="362"/>
      </c>
      <c r="AH440" s="251"/>
      <c r="AI440" s="142"/>
      <c r="AJ440" s="143"/>
      <c r="AK440" s="146"/>
      <c r="AL440" s="146"/>
      <c r="AM440" s="253"/>
      <c r="AN440" s="133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6"/>
      <c r="B441" s="137"/>
      <c r="C441" s="137"/>
      <c r="D441" s="137"/>
      <c r="E441" s="138"/>
      <c r="F441" s="104" t="s">
        <v>95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6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>
        <f>VLOOKUP(обед4,таб,221,FALSE)</f>
        <v>0</v>
      </c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/>
      <c r="AF441" s="33">
        <f>VLOOKUP(ужин7,таб,221,FALSE)</f>
        <v>0</v>
      </c>
      <c r="AG441" s="87">
        <f>VLOOKUP(ужин8,таб,221,FALSE)</f>
        <v>0</v>
      </c>
      <c r="AH441" s="250"/>
      <c r="AI441" s="142">
        <f>AK441/сред</f>
        <v>0</v>
      </c>
      <c r="AJ441" s="143"/>
      <c r="AK441" s="146">
        <f>SUM(G442:AG442)</f>
        <v>0</v>
      </c>
      <c r="AL441" s="146"/>
      <c r="AM441" s="252">
        <f>IF(AK441=0,0,Таблиця!BT533)</f>
        <v>0</v>
      </c>
      <c r="AN441" s="132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9"/>
      <c r="B442" s="140"/>
      <c r="C442" s="140"/>
      <c r="D442" s="140"/>
      <c r="E442" s="141"/>
      <c r="F442" s="105" t="s">
        <v>96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>
        <f t="shared" si="363"/>
      </c>
      <c r="L442" s="122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/>
      <c r="AF442" s="23">
        <f t="shared" si="363"/>
      </c>
      <c r="AG442" s="83">
        <f t="shared" si="363"/>
      </c>
      <c r="AH442" s="251"/>
      <c r="AI442" s="142"/>
      <c r="AJ442" s="143"/>
      <c r="AK442" s="146"/>
      <c r="AL442" s="146"/>
      <c r="AM442" s="253"/>
      <c r="AN442" s="133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6"/>
      <c r="B443" s="137"/>
      <c r="C443" s="137"/>
      <c r="D443" s="137"/>
      <c r="E443" s="138"/>
      <c r="F443" s="104" t="s">
        <v>95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6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>
        <f>VLOOKUP(обед4,таб,222,FALSE)</f>
        <v>0</v>
      </c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/>
      <c r="AF443" s="33">
        <f>VLOOKUP(ужин7,таб,222,FALSE)</f>
        <v>0</v>
      </c>
      <c r="AG443" s="87">
        <f>VLOOKUP(ужин8,таб,222,FALSE)</f>
        <v>0</v>
      </c>
      <c r="AH443" s="250"/>
      <c r="AI443" s="142">
        <f>AK443/сред</f>
        <v>0</v>
      </c>
      <c r="AJ443" s="143"/>
      <c r="AK443" s="146">
        <f>SUM(G444:AG444)</f>
        <v>0</v>
      </c>
      <c r="AL443" s="146"/>
      <c r="AM443" s="252">
        <f>IF(AK443=0,0,Таблиця!BT535)</f>
        <v>0</v>
      </c>
      <c r="AN443" s="132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9"/>
      <c r="B444" s="140"/>
      <c r="C444" s="140"/>
      <c r="D444" s="140"/>
      <c r="E444" s="141"/>
      <c r="F444" s="105" t="s">
        <v>96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>
        <f t="shared" si="364"/>
      </c>
      <c r="L444" s="122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/>
      <c r="AF444" s="23">
        <f t="shared" si="364"/>
      </c>
      <c r="AG444" s="83">
        <f t="shared" si="364"/>
      </c>
      <c r="AH444" s="251"/>
      <c r="AI444" s="142"/>
      <c r="AJ444" s="143"/>
      <c r="AK444" s="146"/>
      <c r="AL444" s="146"/>
      <c r="AM444" s="253"/>
      <c r="AN444" s="133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6"/>
      <c r="B445" s="137"/>
      <c r="C445" s="137"/>
      <c r="D445" s="137"/>
      <c r="E445" s="138"/>
      <c r="F445" s="104" t="s">
        <v>95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6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>
        <f>VLOOKUP(обед4,таб,223,FALSE)</f>
        <v>0</v>
      </c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/>
      <c r="AF445" s="33">
        <f>VLOOKUP(ужин7,таб,223,FALSE)</f>
        <v>0</v>
      </c>
      <c r="AG445" s="87">
        <f>VLOOKUP(ужин8,таб,223,FALSE)</f>
        <v>0</v>
      </c>
      <c r="AH445" s="250"/>
      <c r="AI445" s="142">
        <f>AK445/сред</f>
        <v>0</v>
      </c>
      <c r="AJ445" s="143"/>
      <c r="AK445" s="146">
        <f>SUM(G446:AG446)</f>
        <v>0</v>
      </c>
      <c r="AL445" s="146"/>
      <c r="AM445" s="252">
        <f>IF(AK445=0,0,Таблиця!BT537)</f>
        <v>0</v>
      </c>
      <c r="AN445" s="132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9"/>
      <c r="B446" s="140"/>
      <c r="C446" s="140"/>
      <c r="D446" s="140"/>
      <c r="E446" s="141"/>
      <c r="F446" s="105" t="s">
        <v>96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>
        <f t="shared" si="365"/>
      </c>
      <c r="L446" s="122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/>
      <c r="AF446" s="23">
        <f t="shared" si="365"/>
      </c>
      <c r="AG446" s="83">
        <f t="shared" si="365"/>
      </c>
      <c r="AH446" s="251"/>
      <c r="AI446" s="142"/>
      <c r="AJ446" s="143"/>
      <c r="AK446" s="146"/>
      <c r="AL446" s="146"/>
      <c r="AM446" s="253"/>
      <c r="AN446" s="133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6"/>
      <c r="B447" s="137"/>
      <c r="C447" s="137"/>
      <c r="D447" s="137"/>
      <c r="E447" s="138"/>
      <c r="F447" s="104" t="s">
        <v>95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6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>
        <f>VLOOKUP(обед4,таб,224,FALSE)</f>
        <v>0</v>
      </c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/>
      <c r="AF447" s="33">
        <f>VLOOKUP(ужин7,таб,224,FALSE)</f>
        <v>0</v>
      </c>
      <c r="AG447" s="87">
        <f>VLOOKUP(ужин8,таб,224,FALSE)</f>
        <v>0</v>
      </c>
      <c r="AH447" s="250"/>
      <c r="AI447" s="142">
        <f>AK447/сред</f>
        <v>0</v>
      </c>
      <c r="AJ447" s="143"/>
      <c r="AK447" s="146">
        <f>SUM(G448:AG448)</f>
        <v>0</v>
      </c>
      <c r="AL447" s="146"/>
      <c r="AM447" s="252">
        <f>IF(AK447=0,0,Таблиця!BT539)</f>
        <v>0</v>
      </c>
      <c r="AN447" s="132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39"/>
      <c r="B448" s="140"/>
      <c r="C448" s="140"/>
      <c r="D448" s="140"/>
      <c r="E448" s="141"/>
      <c r="F448" s="105" t="s">
        <v>96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>
        <f t="shared" si="366"/>
      </c>
      <c r="L448" s="122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/>
      <c r="AF448" s="23">
        <f t="shared" si="366"/>
      </c>
      <c r="AG448" s="83">
        <f t="shared" si="366"/>
      </c>
      <c r="AH448" s="251"/>
      <c r="AI448" s="142"/>
      <c r="AJ448" s="143"/>
      <c r="AK448" s="146"/>
      <c r="AL448" s="146"/>
      <c r="AM448" s="253"/>
      <c r="AN448" s="133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>
      <c r="A449" s="136"/>
      <c r="B449" s="137"/>
      <c r="C449" s="137"/>
      <c r="D449" s="137"/>
      <c r="E449" s="138"/>
      <c r="F449" s="104" t="s">
        <v>95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6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>
        <f>VLOOKUP(обед4,таб,225,FALSE)</f>
        <v>0</v>
      </c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/>
      <c r="AF449" s="33">
        <f>VLOOKUP(ужин7,таб,225,FALSE)</f>
        <v>0</v>
      </c>
      <c r="AG449" s="87">
        <f>VLOOKUP(ужин8,таб,225,FALSE)</f>
        <v>0</v>
      </c>
      <c r="AH449" s="250"/>
      <c r="AI449" s="142">
        <f>AK449/сред</f>
        <v>0</v>
      </c>
      <c r="AJ449" s="143"/>
      <c r="AK449" s="146">
        <f>SUM(G450:AG450)</f>
        <v>0</v>
      </c>
      <c r="AL449" s="146"/>
      <c r="AM449" s="252">
        <f>IF(AK449=0,0,Таблиця!BT541)</f>
        <v>0</v>
      </c>
      <c r="AN449" s="132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>
      <c r="A450" s="139"/>
      <c r="B450" s="140"/>
      <c r="C450" s="140"/>
      <c r="D450" s="140"/>
      <c r="E450" s="141"/>
      <c r="F450" s="105" t="s">
        <v>96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>
        <f t="shared" si="367"/>
      </c>
      <c r="L450" s="122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/>
      <c r="AF450" s="23">
        <f t="shared" si="367"/>
      </c>
      <c r="AG450" s="83">
        <f t="shared" si="367"/>
      </c>
      <c r="AH450" s="251"/>
      <c r="AI450" s="142"/>
      <c r="AJ450" s="143"/>
      <c r="AK450" s="146"/>
      <c r="AL450" s="146"/>
      <c r="AM450" s="253"/>
      <c r="AN450" s="133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128" t="s">
        <v>497</v>
      </c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9" t="s">
        <v>498</v>
      </c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06" t="s">
        <v>499</v>
      </c>
      <c r="AI451" s="106"/>
      <c r="AJ451" s="106"/>
      <c r="AK451" s="106"/>
      <c r="AL451" s="106"/>
      <c r="AM451" s="131">
        <f>SUM(AN25:AN450)</f>
        <v>1647.6685919999995</v>
      </c>
      <c r="AN451" s="131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397:E398"/>
    <mergeCell ref="A373:E374"/>
    <mergeCell ref="A375:E376"/>
    <mergeCell ref="A377:E378"/>
    <mergeCell ref="A379:E380"/>
    <mergeCell ref="A399:E400"/>
    <mergeCell ref="A401:E402"/>
    <mergeCell ref="A385:E386"/>
    <mergeCell ref="A387:E388"/>
    <mergeCell ref="A389:E390"/>
    <mergeCell ref="A391:E392"/>
    <mergeCell ref="A393:E394"/>
    <mergeCell ref="A395:E396"/>
    <mergeCell ref="A381:E382"/>
    <mergeCell ref="A383:E384"/>
    <mergeCell ref="A361:E362"/>
    <mergeCell ref="A363:E364"/>
    <mergeCell ref="A365:E366"/>
    <mergeCell ref="A367:E368"/>
    <mergeCell ref="A369:E370"/>
    <mergeCell ref="A371:E372"/>
    <mergeCell ref="A349:E350"/>
    <mergeCell ref="A351:E352"/>
    <mergeCell ref="A353:E354"/>
    <mergeCell ref="A355:E356"/>
    <mergeCell ref="A357:E358"/>
    <mergeCell ref="A359:E360"/>
    <mergeCell ref="A337:E338"/>
    <mergeCell ref="A339:E340"/>
    <mergeCell ref="A341:E342"/>
    <mergeCell ref="A343:E344"/>
    <mergeCell ref="A345:E346"/>
    <mergeCell ref="A347:E348"/>
    <mergeCell ref="A325:E326"/>
    <mergeCell ref="A327:E328"/>
    <mergeCell ref="A329:E330"/>
    <mergeCell ref="A331:E332"/>
    <mergeCell ref="A333:E334"/>
    <mergeCell ref="A335:E336"/>
    <mergeCell ref="A313:E314"/>
    <mergeCell ref="A315:E316"/>
    <mergeCell ref="A317:E318"/>
    <mergeCell ref="A319:E320"/>
    <mergeCell ref="A321:E322"/>
    <mergeCell ref="A323:E324"/>
    <mergeCell ref="A301:E302"/>
    <mergeCell ref="A303:E304"/>
    <mergeCell ref="A305:E306"/>
    <mergeCell ref="A307:E308"/>
    <mergeCell ref="A309:E310"/>
    <mergeCell ref="A311:E312"/>
    <mergeCell ref="A289:E290"/>
    <mergeCell ref="A291:E292"/>
    <mergeCell ref="A293:E294"/>
    <mergeCell ref="A295:E296"/>
    <mergeCell ref="A297:E298"/>
    <mergeCell ref="A299:E300"/>
    <mergeCell ref="A277:E278"/>
    <mergeCell ref="A279:E280"/>
    <mergeCell ref="A281:E282"/>
    <mergeCell ref="A283:E284"/>
    <mergeCell ref="A285:E286"/>
    <mergeCell ref="A287:E288"/>
    <mergeCell ref="A265:E266"/>
    <mergeCell ref="A267:E268"/>
    <mergeCell ref="A269:E270"/>
    <mergeCell ref="A271:E272"/>
    <mergeCell ref="A273:E274"/>
    <mergeCell ref="A275:E276"/>
    <mergeCell ref="A253:E254"/>
    <mergeCell ref="A255:E256"/>
    <mergeCell ref="A257:E258"/>
    <mergeCell ref="A259:E260"/>
    <mergeCell ref="A261:E262"/>
    <mergeCell ref="A263:E264"/>
    <mergeCell ref="A241:E242"/>
    <mergeCell ref="A243:E244"/>
    <mergeCell ref="A245:E246"/>
    <mergeCell ref="A247:E248"/>
    <mergeCell ref="A249:E250"/>
    <mergeCell ref="A251:E252"/>
    <mergeCell ref="A217:E218"/>
    <mergeCell ref="A219:E220"/>
    <mergeCell ref="A221:E222"/>
    <mergeCell ref="A223:E224"/>
    <mergeCell ref="A225:E226"/>
    <mergeCell ref="A227:E228"/>
    <mergeCell ref="A205:E206"/>
    <mergeCell ref="A207:E208"/>
    <mergeCell ref="A209:E210"/>
    <mergeCell ref="A211:E212"/>
    <mergeCell ref="A213:E214"/>
    <mergeCell ref="A215:E216"/>
    <mergeCell ref="A193:E194"/>
    <mergeCell ref="A195:E196"/>
    <mergeCell ref="A197:E198"/>
    <mergeCell ref="A199:E200"/>
    <mergeCell ref="A201:E202"/>
    <mergeCell ref="A203:E204"/>
    <mergeCell ref="A181:E182"/>
    <mergeCell ref="A183:E184"/>
    <mergeCell ref="A185:E186"/>
    <mergeCell ref="A187:E188"/>
    <mergeCell ref="A189:E190"/>
    <mergeCell ref="A191:E19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49:AM150"/>
    <mergeCell ref="AN149:AN150"/>
    <mergeCell ref="AM133:AM134"/>
    <mergeCell ref="AN133:AN134"/>
    <mergeCell ref="AM135:AM136"/>
    <mergeCell ref="AN135:AN136"/>
    <mergeCell ref="AM137:AM138"/>
    <mergeCell ref="AN137:AN138"/>
    <mergeCell ref="AM159:AM160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N171:AN172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M19:N20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</mergeCells>
  <dataValidations count="2">
    <dataValidation type="list" allowBlank="1" showInputMessage="1" showErrorMessage="1" sqref="Z23 M23">
      <formula1>список</formula1>
    </dataValidation>
    <dataValidation type="list" allowBlank="1" showInputMessage="1" showErrorMessage="1" sqref="G23 O23 W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472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A1">
      <selection activeCell="B26" sqref="B26"/>
    </sheetView>
  </sheetViews>
  <sheetFormatPr defaultColWidth="9.140625" defaultRowHeight="12.75"/>
  <sheetData>
    <row r="2" spans="4:12" ht="13.5" customHeight="1" thickBot="1">
      <c r="D2" s="112"/>
      <c r="E2" s="112"/>
      <c r="F2" s="112"/>
      <c r="G2" s="112"/>
      <c r="H2" s="112"/>
      <c r="I2" s="112"/>
      <c r="J2" s="112"/>
      <c r="K2" s="112"/>
      <c r="L2" s="112"/>
    </row>
    <row r="3" spans="4:49" ht="57" customHeight="1" thickBot="1" thickTop="1">
      <c r="D3" s="254" t="s">
        <v>511</v>
      </c>
      <c r="E3" s="255"/>
      <c r="F3" s="255"/>
      <c r="G3" s="255"/>
      <c r="H3" s="255"/>
      <c r="I3" s="255"/>
      <c r="J3" s="255"/>
      <c r="K3" s="255"/>
      <c r="L3" s="256"/>
      <c r="P3" s="109"/>
      <c r="Q3" s="109"/>
      <c r="R3" s="254" t="s">
        <v>512</v>
      </c>
      <c r="S3" s="255"/>
      <c r="T3" s="255"/>
      <c r="U3" s="255"/>
      <c r="V3" s="255"/>
      <c r="W3" s="255"/>
      <c r="X3" s="255"/>
      <c r="Y3" s="255"/>
      <c r="Z3" s="256"/>
      <c r="AC3" s="109"/>
      <c r="AD3" s="254" t="s">
        <v>513</v>
      </c>
      <c r="AE3" s="255"/>
      <c r="AF3" s="255"/>
      <c r="AG3" s="255"/>
      <c r="AH3" s="255"/>
      <c r="AI3" s="255"/>
      <c r="AJ3" s="255"/>
      <c r="AK3" s="255"/>
      <c r="AL3" s="256"/>
      <c r="AO3" s="254" t="s">
        <v>514</v>
      </c>
      <c r="AP3" s="255"/>
      <c r="AQ3" s="255"/>
      <c r="AR3" s="255"/>
      <c r="AS3" s="255"/>
      <c r="AT3" s="255"/>
      <c r="AU3" s="255"/>
      <c r="AV3" s="255"/>
      <c r="AW3" s="256"/>
    </row>
    <row r="4" spans="41:48" ht="13.5" thickTop="1">
      <c r="AO4" s="16"/>
      <c r="AV4" s="16"/>
    </row>
    <row r="11" ht="12.75">
      <c r="AM11" s="111"/>
    </row>
    <row r="14" ht="12.75">
      <c r="AK14" s="110"/>
    </row>
    <row r="21" spans="7:8" ht="12.75">
      <c r="G21" t="s">
        <v>133</v>
      </c>
      <c r="H21" t="s">
        <v>362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1875" topLeftCell="A271" activePane="bottomLeft" state="split"/>
      <selection pane="topLeft" activeCell="A1" sqref="A1"/>
      <selection pane="bottomLeft" activeCell="B275" sqref="B275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7.8515625" style="0" bestFit="1" customWidth="1"/>
    <col min="130" max="130" width="14.57421875" style="0" bestFit="1" customWidth="1"/>
    <col min="131" max="131" width="17.7109375" style="0" bestFit="1" customWidth="1"/>
    <col min="132" max="132" width="14.57421875" style="0" bestFit="1" customWidth="1"/>
    <col min="133" max="133" width="13.7109375" style="0" bestFit="1" customWidth="1"/>
    <col min="134" max="134" width="9.00390625" style="0" bestFit="1" customWidth="1"/>
    <col min="135" max="135" width="15.140625" style="0" bestFit="1" customWidth="1"/>
    <col min="136" max="136" width="8.57421875" style="0" bestFit="1" customWidth="1"/>
    <col min="137" max="137" width="21.8515625" style="0" bestFit="1" customWidth="1"/>
    <col min="138" max="138" width="11.8515625" style="0" bestFit="1" customWidth="1"/>
    <col min="139" max="139" width="10.421875" style="0" bestFit="1" customWidth="1"/>
    <col min="140" max="140" width="13.57421875" style="0" bestFit="1" customWidth="1"/>
    <col min="141" max="141" width="13.7109375" style="0" bestFit="1" customWidth="1"/>
    <col min="142" max="142" width="12.8515625" style="0" bestFit="1" customWidth="1"/>
    <col min="143" max="143" width="5.8515625" style="0" bestFit="1" customWidth="1"/>
    <col min="146" max="146" width="10.421875" style="0" customWidth="1"/>
    <col min="147" max="147" width="11.57421875" style="0" customWidth="1"/>
  </cols>
  <sheetData>
    <row r="1" spans="2:147" ht="20.25">
      <c r="B1" s="54"/>
      <c r="C1" s="54" t="s">
        <v>7</v>
      </c>
      <c r="D1" s="54" t="s">
        <v>6</v>
      </c>
      <c r="E1" s="54" t="s">
        <v>8</v>
      </c>
      <c r="F1" s="54" t="s">
        <v>156</v>
      </c>
      <c r="G1" s="54" t="s">
        <v>149</v>
      </c>
      <c r="H1" s="54" t="s">
        <v>145</v>
      </c>
      <c r="I1" s="54" t="s">
        <v>10</v>
      </c>
      <c r="J1" s="54" t="s">
        <v>151</v>
      </c>
      <c r="K1" s="54" t="s">
        <v>51</v>
      </c>
      <c r="L1" s="54" t="s">
        <v>154</v>
      </c>
      <c r="M1" s="54" t="s">
        <v>150</v>
      </c>
      <c r="N1" s="54" t="s">
        <v>13</v>
      </c>
      <c r="O1" s="54" t="s">
        <v>14</v>
      </c>
      <c r="P1" s="54" t="s">
        <v>155</v>
      </c>
      <c r="Q1" s="54" t="s">
        <v>52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129</v>
      </c>
      <c r="W1" s="54" t="s">
        <v>60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53</v>
      </c>
      <c r="AC1" s="54" t="s">
        <v>26</v>
      </c>
      <c r="AD1" s="54" t="s">
        <v>25</v>
      </c>
      <c r="AE1" s="54" t="s">
        <v>118</v>
      </c>
      <c r="AF1" s="54" t="s">
        <v>0</v>
      </c>
      <c r="AG1" s="54" t="s">
        <v>143</v>
      </c>
      <c r="AH1" s="54" t="s">
        <v>28</v>
      </c>
      <c r="AI1" s="54" t="s">
        <v>131</v>
      </c>
      <c r="AJ1" s="54" t="s">
        <v>30</v>
      </c>
      <c r="AK1" s="54" t="s">
        <v>164</v>
      </c>
      <c r="AL1" s="54" t="s">
        <v>157</v>
      </c>
      <c r="AM1" s="54" t="s">
        <v>33</v>
      </c>
      <c r="AN1" s="54" t="s">
        <v>103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120</v>
      </c>
      <c r="AT1" s="54" t="s">
        <v>38</v>
      </c>
      <c r="AU1" s="54" t="s">
        <v>39</v>
      </c>
      <c r="AV1" s="54" t="s">
        <v>119</v>
      </c>
      <c r="AW1" s="54" t="s">
        <v>54</v>
      </c>
      <c r="AX1" s="54" t="s">
        <v>41</v>
      </c>
      <c r="AY1" s="54" t="s">
        <v>116</v>
      </c>
      <c r="AZ1" s="54" t="s">
        <v>40</v>
      </c>
      <c r="BA1" s="54" t="s">
        <v>496</v>
      </c>
      <c r="BB1" s="54" t="s">
        <v>418</v>
      </c>
      <c r="BC1" s="54" t="s">
        <v>102</v>
      </c>
      <c r="BD1" s="54" t="s">
        <v>128</v>
      </c>
      <c r="BE1" s="54" t="s">
        <v>123</v>
      </c>
      <c r="BF1" s="54" t="s">
        <v>117</v>
      </c>
      <c r="BG1" s="54" t="s">
        <v>152</v>
      </c>
      <c r="BH1" s="54" t="s">
        <v>44</v>
      </c>
      <c r="BI1" s="54" t="s">
        <v>2</v>
      </c>
      <c r="BJ1" s="54" t="s">
        <v>46</v>
      </c>
      <c r="BK1" s="54" t="s">
        <v>47</v>
      </c>
      <c r="BL1" s="54" t="s">
        <v>48</v>
      </c>
      <c r="BM1" s="54" t="s">
        <v>49</v>
      </c>
      <c r="BN1" s="54" t="s">
        <v>50</v>
      </c>
      <c r="BO1" s="54" t="s">
        <v>153</v>
      </c>
      <c r="BP1" s="54" t="s">
        <v>55</v>
      </c>
      <c r="BQ1" s="54" t="s">
        <v>56</v>
      </c>
      <c r="BR1" s="54" t="s">
        <v>127</v>
      </c>
      <c r="BS1" s="54" t="s">
        <v>57</v>
      </c>
      <c r="BT1" s="54" t="s">
        <v>58</v>
      </c>
      <c r="BU1" s="54" t="s">
        <v>62</v>
      </c>
      <c r="BV1" s="54" t="s">
        <v>59</v>
      </c>
      <c r="BW1" s="54" t="s">
        <v>61</v>
      </c>
      <c r="BX1" s="54" t="s">
        <v>124</v>
      </c>
      <c r="BY1" s="54" t="s">
        <v>158</v>
      </c>
      <c r="BZ1" s="54" t="s">
        <v>107</v>
      </c>
      <c r="CA1" s="54" t="s">
        <v>144</v>
      </c>
      <c r="CB1" s="54" t="s">
        <v>113</v>
      </c>
      <c r="CC1" s="54" t="s">
        <v>420</v>
      </c>
      <c r="CD1" s="54" t="s">
        <v>99</v>
      </c>
      <c r="CE1" s="54" t="s">
        <v>421</v>
      </c>
      <c r="CF1" s="54" t="s">
        <v>100</v>
      </c>
      <c r="CG1" s="54" t="s">
        <v>422</v>
      </c>
      <c r="CH1" s="54" t="s">
        <v>101</v>
      </c>
      <c r="CI1" s="54" t="s">
        <v>104</v>
      </c>
      <c r="CJ1" s="54" t="s">
        <v>165</v>
      </c>
      <c r="CK1" s="54" t="s">
        <v>166</v>
      </c>
      <c r="CL1" s="54" t="s">
        <v>168</v>
      </c>
      <c r="CM1" s="54" t="s">
        <v>169</v>
      </c>
      <c r="CN1" s="54" t="s">
        <v>176</v>
      </c>
      <c r="CO1" s="54" t="s">
        <v>178</v>
      </c>
      <c r="CP1" s="54" t="s">
        <v>180</v>
      </c>
      <c r="CQ1" s="54" t="s">
        <v>183</v>
      </c>
      <c r="CR1" s="54" t="s">
        <v>185</v>
      </c>
      <c r="CS1" s="54" t="s">
        <v>189</v>
      </c>
      <c r="CT1" s="54" t="s">
        <v>191</v>
      </c>
      <c r="CU1" s="54" t="s">
        <v>193</v>
      </c>
      <c r="CV1" s="54" t="s">
        <v>202</v>
      </c>
      <c r="CW1" s="54" t="s">
        <v>206</v>
      </c>
      <c r="CX1" s="54" t="s">
        <v>207</v>
      </c>
      <c r="CY1" s="54" t="s">
        <v>209</v>
      </c>
      <c r="CZ1" s="54" t="s">
        <v>211</v>
      </c>
      <c r="DA1" s="54" t="s">
        <v>212</v>
      </c>
      <c r="DB1" s="54" t="s">
        <v>216</v>
      </c>
      <c r="DC1" s="54" t="s">
        <v>220</v>
      </c>
      <c r="DD1" s="54" t="s">
        <v>222</v>
      </c>
      <c r="DE1" s="54" t="s">
        <v>495</v>
      </c>
      <c r="DF1" s="54" t="s">
        <v>224</v>
      </c>
      <c r="DG1" s="54" t="s">
        <v>225</v>
      </c>
      <c r="DH1" s="54" t="s">
        <v>229</v>
      </c>
      <c r="DI1" s="54" t="s">
        <v>230</v>
      </c>
      <c r="DJ1" s="54" t="s">
        <v>237</v>
      </c>
      <c r="DK1" s="54" t="s">
        <v>238</v>
      </c>
      <c r="DL1" s="54" t="s">
        <v>245</v>
      </c>
      <c r="DM1" s="54" t="s">
        <v>247</v>
      </c>
      <c r="DN1" s="54" t="s">
        <v>249</v>
      </c>
      <c r="DO1" s="54" t="s">
        <v>252</v>
      </c>
      <c r="DP1" s="54" t="s">
        <v>259</v>
      </c>
      <c r="DQ1" s="54" t="s">
        <v>262</v>
      </c>
      <c r="DR1" s="54" t="s">
        <v>263</v>
      </c>
      <c r="DS1" s="54" t="s">
        <v>265</v>
      </c>
      <c r="DT1" s="54" t="s">
        <v>278</v>
      </c>
      <c r="DU1" s="54" t="s">
        <v>267</v>
      </c>
      <c r="DV1" s="54" t="s">
        <v>302</v>
      </c>
      <c r="DW1" s="54" t="s">
        <v>306</v>
      </c>
      <c r="DX1" s="54" t="s">
        <v>310</v>
      </c>
      <c r="DY1" t="s">
        <v>530</v>
      </c>
      <c r="DZ1" t="s">
        <v>531</v>
      </c>
      <c r="EA1" t="s">
        <v>122</v>
      </c>
      <c r="EB1" t="s">
        <v>532</v>
      </c>
      <c r="EC1" t="s">
        <v>533</v>
      </c>
      <c r="ED1" t="s">
        <v>534</v>
      </c>
      <c r="EE1" t="s">
        <v>535</v>
      </c>
      <c r="EF1" t="s">
        <v>126</v>
      </c>
      <c r="EG1" t="s">
        <v>536</v>
      </c>
      <c r="EH1" t="s">
        <v>537</v>
      </c>
      <c r="EI1" t="s">
        <v>112</v>
      </c>
      <c r="EJ1" t="s">
        <v>538</v>
      </c>
      <c r="EK1" t="s">
        <v>539</v>
      </c>
      <c r="EL1" t="s">
        <v>540</v>
      </c>
      <c r="EM1" t="s">
        <v>125</v>
      </c>
      <c r="EN1" t="s">
        <v>543</v>
      </c>
      <c r="EO1" t="s">
        <v>544</v>
      </c>
      <c r="EP1" t="s">
        <v>545</v>
      </c>
      <c r="EQ1" t="s">
        <v>546</v>
      </c>
    </row>
    <row r="2" spans="1:178" ht="20.25">
      <c r="A2">
        <v>221</v>
      </c>
      <c r="B2" s="54" t="s">
        <v>168</v>
      </c>
      <c r="BP2" s="54">
        <v>100</v>
      </c>
      <c r="CM2">
        <v>149</v>
      </c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291</v>
      </c>
      <c r="J3">
        <v>167</v>
      </c>
      <c r="BP3" s="54">
        <v>100</v>
      </c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239</v>
      </c>
      <c r="K4">
        <v>3.8</v>
      </c>
      <c r="O4">
        <v>60</v>
      </c>
      <c r="AE4">
        <v>51</v>
      </c>
      <c r="BP4" s="54">
        <v>150</v>
      </c>
      <c r="BR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409</v>
      </c>
      <c r="C5">
        <v>120.6</v>
      </c>
      <c r="R5">
        <v>36</v>
      </c>
      <c r="AT5">
        <v>2.9</v>
      </c>
      <c r="AU5">
        <v>16.2</v>
      </c>
      <c r="BP5" s="54">
        <v>120</v>
      </c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363</v>
      </c>
      <c r="C6" s="54">
        <v>132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3.1</v>
      </c>
      <c r="AU6" s="54">
        <v>20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120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268</v>
      </c>
      <c r="J7">
        <v>60</v>
      </c>
      <c r="U7">
        <v>0.8</v>
      </c>
      <c r="AH7">
        <v>4</v>
      </c>
      <c r="BH7">
        <v>2</v>
      </c>
      <c r="BP7" s="54">
        <v>80</v>
      </c>
      <c r="DQ7">
        <v>4.4</v>
      </c>
      <c r="DR7">
        <v>13.6</v>
      </c>
      <c r="DT7">
        <v>13.6</v>
      </c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354</v>
      </c>
      <c r="C8" s="54"/>
      <c r="D8" s="54"/>
      <c r="E8" s="54">
        <v>121.3</v>
      </c>
      <c r="F8" s="54"/>
      <c r="G8" s="54"/>
      <c r="H8" s="54"/>
      <c r="I8" s="54"/>
      <c r="J8" s="54"/>
      <c r="K8" s="54">
        <v>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56.3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47.5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250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297</v>
      </c>
      <c r="O9">
        <v>127.5</v>
      </c>
      <c r="X9">
        <v>15</v>
      </c>
      <c r="AH9">
        <v>7.5</v>
      </c>
      <c r="BM9">
        <v>0.6</v>
      </c>
      <c r="BP9" s="54">
        <v>150</v>
      </c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371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128</v>
      </c>
      <c r="P10" s="54"/>
      <c r="Q10" s="54"/>
      <c r="R10" s="54"/>
      <c r="S10" s="54"/>
      <c r="T10" s="54"/>
      <c r="U10" s="54"/>
      <c r="V10" s="54"/>
      <c r="W10" s="54"/>
      <c r="X10" s="54">
        <v>15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12.8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150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347</v>
      </c>
      <c r="C11" s="54">
        <v>73.3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0.4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85</v>
      </c>
      <c r="AU11" s="54">
        <v>3</v>
      </c>
      <c r="AV11" s="54"/>
      <c r="AW11" s="54"/>
      <c r="AX11" s="54">
        <v>20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100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406</v>
      </c>
      <c r="C12">
        <v>102.5</v>
      </c>
      <c r="N12">
        <v>3.4</v>
      </c>
      <c r="AH12">
        <v>5.6</v>
      </c>
      <c r="AT12">
        <v>42.5</v>
      </c>
      <c r="AX12">
        <v>17</v>
      </c>
      <c r="BP12" s="54">
        <v>170</v>
      </c>
      <c r="CI12">
        <v>3.9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89.5</v>
      </c>
      <c r="AS13" s="54"/>
      <c r="AT13" s="54">
        <v>12</v>
      </c>
      <c r="AU13" s="54">
        <v>13.5</v>
      </c>
      <c r="AV13" s="54"/>
      <c r="AW13" s="54"/>
      <c r="AX13" s="54">
        <v>2</v>
      </c>
      <c r="AY13" s="54"/>
      <c r="AZ13" s="54">
        <v>53.5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>
        <v>5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DI13">
        <v>0.3</v>
      </c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146</v>
      </c>
      <c r="N14">
        <v>5</v>
      </c>
      <c r="AH14">
        <v>1.5</v>
      </c>
      <c r="AR14">
        <v>89.5</v>
      </c>
      <c r="AT14">
        <v>12</v>
      </c>
      <c r="AU14">
        <v>13.5</v>
      </c>
      <c r="AX14">
        <v>2</v>
      </c>
      <c r="AZ14">
        <v>53.5</v>
      </c>
      <c r="BP14" s="54">
        <v>250</v>
      </c>
      <c r="BX14">
        <v>5</v>
      </c>
      <c r="DI14">
        <v>0.3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245</v>
      </c>
      <c r="N15">
        <v>4.5</v>
      </c>
      <c r="BP15" s="54">
        <v>150</v>
      </c>
      <c r="DL15">
        <v>60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266</v>
      </c>
      <c r="K16">
        <v>2.4</v>
      </c>
      <c r="N16">
        <v>3.2</v>
      </c>
      <c r="U16">
        <v>0.3</v>
      </c>
      <c r="AH16">
        <v>4</v>
      </c>
      <c r="BK16">
        <v>1</v>
      </c>
      <c r="BP16" s="54">
        <v>80</v>
      </c>
      <c r="CO16">
        <v>2.4</v>
      </c>
      <c r="DQ16">
        <v>4.8</v>
      </c>
      <c r="DR16">
        <v>12.8</v>
      </c>
      <c r="DT16">
        <v>9.6</v>
      </c>
      <c r="DU16">
        <v>3.2</v>
      </c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232</v>
      </c>
      <c r="AG17">
        <v>17</v>
      </c>
      <c r="AT17">
        <v>6</v>
      </c>
      <c r="AU17">
        <v>18.5</v>
      </c>
      <c r="BP17" s="54">
        <v>250</v>
      </c>
      <c r="CI17">
        <v>3.8</v>
      </c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133</v>
      </c>
      <c r="C18" s="54">
        <v>105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36</v>
      </c>
      <c r="P18" s="54"/>
      <c r="Q18" s="54"/>
      <c r="R18" s="54"/>
      <c r="S18" s="54"/>
      <c r="T18" s="54"/>
      <c r="U18" s="54"/>
      <c r="V18" s="54"/>
      <c r="W18" s="54">
        <v>72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>
        <v>0.2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14.4</v>
      </c>
      <c r="AT18" s="54"/>
      <c r="AU18" s="54"/>
      <c r="AV18" s="54"/>
      <c r="AW18" s="54">
        <v>5.4</v>
      </c>
      <c r="AX18" s="54">
        <v>0.6</v>
      </c>
      <c r="AY18" s="54"/>
      <c r="AZ18" s="54"/>
      <c r="BA18" s="54"/>
      <c r="BB18" s="54"/>
      <c r="BC18" s="54" t="s">
        <v>525</v>
      </c>
      <c r="BD18" s="54"/>
      <c r="BE18" s="54"/>
      <c r="BF18" s="54"/>
      <c r="BG18" s="54"/>
      <c r="BH18" s="54"/>
      <c r="BI18" s="54"/>
      <c r="BJ18" s="54"/>
      <c r="BK18" s="54">
        <v>0.9</v>
      </c>
      <c r="BL18" s="54"/>
      <c r="BM18" s="54"/>
      <c r="BN18" s="54"/>
      <c r="BO18" s="54"/>
      <c r="BP18" s="54" t="s">
        <v>515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494</v>
      </c>
      <c r="C19" s="54"/>
      <c r="D19" s="54"/>
      <c r="E19" s="54"/>
      <c r="F19" s="54"/>
      <c r="G19" s="54"/>
      <c r="H19" s="54"/>
      <c r="I19" s="54"/>
      <c r="J19" s="54"/>
      <c r="K19" s="54">
        <v>8</v>
      </c>
      <c r="L19" s="54"/>
      <c r="M19" s="54"/>
      <c r="N19" s="54"/>
      <c r="O19" s="54">
        <v>15</v>
      </c>
      <c r="P19" s="54"/>
      <c r="Q19" s="54"/>
      <c r="R19" s="54"/>
      <c r="S19" s="54"/>
      <c r="T19" s="54"/>
      <c r="U19" s="54"/>
      <c r="V19" s="54"/>
      <c r="W19" s="54">
        <v>1.7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/>
      <c r="AP19" s="54"/>
      <c r="AQ19" s="54">
        <v>43</v>
      </c>
      <c r="AR19" s="54"/>
      <c r="AS19" s="54"/>
      <c r="AT19" s="54"/>
      <c r="AU19" s="54"/>
      <c r="AV19" s="54"/>
      <c r="AW19" s="54"/>
      <c r="AX19" s="54"/>
      <c r="AY19" s="54"/>
      <c r="AZ19" s="54">
        <v>134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304</v>
      </c>
      <c r="S20">
        <v>125.6</v>
      </c>
      <c r="U20">
        <v>0.1</v>
      </c>
      <c r="W20">
        <v>17.3</v>
      </c>
      <c r="AH20">
        <v>7.5</v>
      </c>
      <c r="BP20" s="54">
        <v>150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317</v>
      </c>
      <c r="N21">
        <v>7.5</v>
      </c>
      <c r="AR21">
        <v>87</v>
      </c>
      <c r="AT21">
        <v>14.3</v>
      </c>
      <c r="AU21">
        <v>26.3</v>
      </c>
      <c r="AX21">
        <v>7.5</v>
      </c>
      <c r="BP21" s="54">
        <v>150</v>
      </c>
      <c r="CI21">
        <v>1.2</v>
      </c>
      <c r="DA21">
        <v>0.5</v>
      </c>
      <c r="DB21">
        <v>0.5</v>
      </c>
      <c r="DF21">
        <v>27</v>
      </c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414</v>
      </c>
      <c r="C22">
        <v>120</v>
      </c>
      <c r="AM22">
        <v>12.5</v>
      </c>
      <c r="BP22" s="54" t="s">
        <v>526</v>
      </c>
      <c r="BT22">
        <v>15</v>
      </c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404</v>
      </c>
      <c r="N23">
        <v>10</v>
      </c>
      <c r="U23">
        <v>0.2</v>
      </c>
      <c r="W23">
        <v>30</v>
      </c>
      <c r="AH23">
        <v>6</v>
      </c>
      <c r="AQ23">
        <v>53.3</v>
      </c>
      <c r="BP23" s="54">
        <v>100</v>
      </c>
      <c r="BS23">
        <v>1</v>
      </c>
      <c r="CP23">
        <v>0.5</v>
      </c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250</v>
      </c>
      <c r="K24">
        <v>3.8</v>
      </c>
      <c r="AR24">
        <v>195</v>
      </c>
      <c r="BP24" s="54">
        <v>150</v>
      </c>
      <c r="CW24">
        <v>3.8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181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2.8</v>
      </c>
      <c r="M25" s="54"/>
      <c r="N25" s="54">
        <v>4.7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44.5</v>
      </c>
      <c r="AS25" s="54"/>
      <c r="AT25" s="54">
        <v>10</v>
      </c>
      <c r="AU25" s="54">
        <v>27</v>
      </c>
      <c r="AV25" s="54">
        <v>10</v>
      </c>
      <c r="AW25" s="54"/>
      <c r="AX25" s="54"/>
      <c r="AY25" s="54"/>
      <c r="AZ25" s="54">
        <v>31.3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100</v>
      </c>
      <c r="BR25">
        <v>11</v>
      </c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258</v>
      </c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257</v>
      </c>
      <c r="K27">
        <v>4.5</v>
      </c>
      <c r="AF27">
        <v>45</v>
      </c>
      <c r="BP27" s="54">
        <v>150</v>
      </c>
      <c r="BX27">
        <v>3.8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246</v>
      </c>
      <c r="K28">
        <v>3.8</v>
      </c>
      <c r="Y28">
        <v>71</v>
      </c>
      <c r="BP28" s="97">
        <v>150</v>
      </c>
      <c r="DM28">
        <v>0.3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243</v>
      </c>
      <c r="K29">
        <v>3</v>
      </c>
      <c r="Y29">
        <v>63</v>
      </c>
      <c r="AX29">
        <v>15</v>
      </c>
      <c r="BP29" s="54">
        <v>150</v>
      </c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410</v>
      </c>
      <c r="C30">
        <v>120.6</v>
      </c>
      <c r="K30">
        <v>3.6</v>
      </c>
      <c r="W30">
        <v>2.4</v>
      </c>
      <c r="AT30">
        <v>17.4</v>
      </c>
      <c r="AU30">
        <v>19.2</v>
      </c>
      <c r="AY30">
        <v>12</v>
      </c>
      <c r="BP30" s="54">
        <v>120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364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486</v>
      </c>
      <c r="C32" s="54"/>
      <c r="D32" s="54"/>
      <c r="E32" s="54"/>
      <c r="F32" s="54"/>
      <c r="G32" s="54"/>
      <c r="H32" s="54"/>
      <c r="I32" s="54"/>
      <c r="J32" s="54"/>
      <c r="K32" s="54">
        <v>5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30.3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>
        <v>40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75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132</v>
      </c>
      <c r="C33" s="54"/>
      <c r="D33" s="54"/>
      <c r="E33" s="54"/>
      <c r="F33" s="54"/>
      <c r="G33" s="54"/>
      <c r="H33" s="54"/>
      <c r="I33" s="54"/>
      <c r="J33" s="54"/>
      <c r="K33" s="54">
        <v>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30.3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>
        <v>40</v>
      </c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75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130</v>
      </c>
      <c r="C34" s="54"/>
      <c r="D34" s="54"/>
      <c r="E34" s="54"/>
      <c r="F34" s="54"/>
      <c r="G34" s="54"/>
      <c r="H34" s="54"/>
      <c r="I34" s="54"/>
      <c r="J34" s="54"/>
      <c r="K34" s="54">
        <v>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30.3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>
        <v>40</v>
      </c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75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417</v>
      </c>
      <c r="C35" s="54"/>
      <c r="D35" s="54"/>
      <c r="E35" s="54"/>
      <c r="F35" s="54"/>
      <c r="G35" s="54"/>
      <c r="H35" s="54"/>
      <c r="I35" s="54"/>
      <c r="J35" s="54"/>
      <c r="K35" s="54">
        <v>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>
        <v>40</v>
      </c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75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501</v>
      </c>
      <c r="E36">
        <v>130.5</v>
      </c>
      <c r="N36">
        <v>2.7</v>
      </c>
      <c r="BP36" s="54">
        <v>90</v>
      </c>
      <c r="DA36">
        <v>0.225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487</v>
      </c>
      <c r="G37">
        <v>146.4</v>
      </c>
      <c r="N37">
        <v>3</v>
      </c>
      <c r="T37">
        <v>24</v>
      </c>
      <c r="U37">
        <v>0.3</v>
      </c>
      <c r="W37">
        <v>15</v>
      </c>
      <c r="BP37" s="54">
        <v>150</v>
      </c>
      <c r="BT37">
        <v>18</v>
      </c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311</v>
      </c>
      <c r="N38">
        <v>4.5</v>
      </c>
      <c r="R38">
        <v>15</v>
      </c>
      <c r="Z38">
        <v>7.5</v>
      </c>
      <c r="AH38">
        <v>7.5</v>
      </c>
      <c r="AQ38">
        <v>60</v>
      </c>
      <c r="AU38">
        <v>108</v>
      </c>
      <c r="BP38" s="54">
        <v>150</v>
      </c>
      <c r="CP38">
        <v>0.5</v>
      </c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292</v>
      </c>
      <c r="N39">
        <v>3</v>
      </c>
      <c r="R39">
        <v>3</v>
      </c>
      <c r="U39">
        <v>0.1</v>
      </c>
      <c r="AB39">
        <v>41</v>
      </c>
      <c r="AH39">
        <v>6</v>
      </c>
      <c r="BE39">
        <v>60</v>
      </c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292</v>
      </c>
      <c r="N40">
        <v>3</v>
      </c>
      <c r="R40">
        <v>3</v>
      </c>
      <c r="U40">
        <v>0.1</v>
      </c>
      <c r="AB40">
        <v>41</v>
      </c>
      <c r="AH40">
        <v>6</v>
      </c>
      <c r="AN40">
        <v>15</v>
      </c>
      <c r="BE40">
        <v>60</v>
      </c>
      <c r="BP40" s="54">
        <v>150</v>
      </c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315</v>
      </c>
      <c r="J41">
        <v>75</v>
      </c>
      <c r="N41">
        <v>1.5</v>
      </c>
      <c r="R41">
        <v>4.5</v>
      </c>
      <c r="S41">
        <v>76.5</v>
      </c>
      <c r="U41">
        <v>0.2</v>
      </c>
      <c r="Z41">
        <v>6.8</v>
      </c>
      <c r="AH41">
        <v>4.5</v>
      </c>
      <c r="BP41" s="54">
        <v>150</v>
      </c>
      <c r="BT41">
        <v>4.5</v>
      </c>
      <c r="CV41">
        <v>0.8</v>
      </c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312</v>
      </c>
      <c r="N42">
        <v>4.5</v>
      </c>
      <c r="R42">
        <v>4.5</v>
      </c>
      <c r="S42">
        <v>91.5</v>
      </c>
      <c r="U42">
        <v>0.2</v>
      </c>
      <c r="Z42">
        <v>6.8</v>
      </c>
      <c r="AH42">
        <v>4.5</v>
      </c>
      <c r="AQ42">
        <v>15</v>
      </c>
      <c r="AU42">
        <v>15</v>
      </c>
      <c r="BP42" s="54">
        <v>150</v>
      </c>
      <c r="BT42">
        <v>4.5</v>
      </c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313</v>
      </c>
      <c r="N43">
        <v>1.5</v>
      </c>
      <c r="R43">
        <v>4.5</v>
      </c>
      <c r="U43">
        <v>0.2</v>
      </c>
      <c r="Z43">
        <v>9</v>
      </c>
      <c r="AH43">
        <v>4.5</v>
      </c>
      <c r="BP43" s="54">
        <v>150</v>
      </c>
      <c r="BT43">
        <v>4.5</v>
      </c>
      <c r="CV43">
        <v>0.8</v>
      </c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129</v>
      </c>
      <c r="V44">
        <v>125</v>
      </c>
      <c r="BP44">
        <v>125</v>
      </c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221</v>
      </c>
      <c r="O45">
        <v>190</v>
      </c>
      <c r="BH45">
        <v>3.5</v>
      </c>
      <c r="BP45" s="54">
        <v>200</v>
      </c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226</v>
      </c>
      <c r="N46">
        <v>5</v>
      </c>
      <c r="AR46">
        <v>31.3</v>
      </c>
      <c r="AS46">
        <v>75</v>
      </c>
      <c r="AT46">
        <v>8.7</v>
      </c>
      <c r="BE46">
        <v>19.5</v>
      </c>
      <c r="BL46">
        <v>0.1</v>
      </c>
      <c r="BP46" s="54">
        <v>250</v>
      </c>
      <c r="BU46">
        <v>11.3</v>
      </c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287</v>
      </c>
      <c r="E47">
        <v>125</v>
      </c>
      <c r="N47">
        <v>7.5</v>
      </c>
      <c r="AS47">
        <v>147.5</v>
      </c>
      <c r="AT47">
        <v>30</v>
      </c>
      <c r="AU47">
        <v>35</v>
      </c>
      <c r="AX47">
        <v>2</v>
      </c>
      <c r="BP47" s="54">
        <v>250</v>
      </c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341</v>
      </c>
      <c r="N48">
        <v>7.6</v>
      </c>
      <c r="AR48">
        <v>240.3</v>
      </c>
      <c r="BN48">
        <v>0.2</v>
      </c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>
        <v>15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213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248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240</v>
      </c>
      <c r="L51">
        <v>3</v>
      </c>
      <c r="O51">
        <v>23</v>
      </c>
      <c r="AR51">
        <v>183</v>
      </c>
      <c r="BP51" s="54">
        <v>150</v>
      </c>
      <c r="DA51">
        <v>0.3</v>
      </c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340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345</v>
      </c>
      <c r="K53">
        <v>107</v>
      </c>
      <c r="O53">
        <v>93</v>
      </c>
      <c r="W53">
        <v>5.2</v>
      </c>
      <c r="AR53">
        <v>176</v>
      </c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333</v>
      </c>
      <c r="C54" s="54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R54">
        <v>1.1</v>
      </c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241</v>
      </c>
      <c r="K55">
        <v>4.5</v>
      </c>
      <c r="AA55">
        <v>60</v>
      </c>
      <c r="BP55" s="54">
        <v>150</v>
      </c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255</v>
      </c>
      <c r="K56">
        <v>6</v>
      </c>
      <c r="BP56" s="54">
        <v>150</v>
      </c>
      <c r="CB56">
        <v>67.5</v>
      </c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254</v>
      </c>
      <c r="K57">
        <v>6</v>
      </c>
      <c r="BP57" s="54">
        <v>150</v>
      </c>
      <c r="CB57">
        <v>75</v>
      </c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353</v>
      </c>
      <c r="C58" s="54">
        <v>109.6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6</v>
      </c>
      <c r="T58" s="54"/>
      <c r="U58" s="54">
        <v>0.1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75</v>
      </c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353</v>
      </c>
      <c r="C59">
        <v>120.6</v>
      </c>
      <c r="N59">
        <v>1.4</v>
      </c>
      <c r="S59">
        <v>10</v>
      </c>
      <c r="U59">
        <v>0.2</v>
      </c>
      <c r="BP59" s="54">
        <v>100</v>
      </c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419</v>
      </c>
      <c r="Q60">
        <v>125</v>
      </c>
      <c r="BP60" s="54">
        <v>125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217</v>
      </c>
      <c r="P61">
        <v>36</v>
      </c>
      <c r="X61">
        <v>6.8</v>
      </c>
      <c r="BP61" s="54">
        <v>150</v>
      </c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412</v>
      </c>
      <c r="D62">
        <v>120.5</v>
      </c>
      <c r="N62">
        <v>2.5</v>
      </c>
      <c r="X62">
        <v>3.8</v>
      </c>
      <c r="AR62">
        <v>187.5</v>
      </c>
      <c r="AT62">
        <v>30</v>
      </c>
      <c r="AU62">
        <v>33.8</v>
      </c>
      <c r="BA62">
        <v>1</v>
      </c>
      <c r="BP62" s="54">
        <v>250</v>
      </c>
      <c r="CP62">
        <v>1.3</v>
      </c>
      <c r="CV62">
        <v>1</v>
      </c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307</v>
      </c>
      <c r="N63">
        <v>8</v>
      </c>
      <c r="P63">
        <v>40</v>
      </c>
      <c r="R63">
        <v>20</v>
      </c>
      <c r="U63">
        <v>0.1</v>
      </c>
      <c r="W63">
        <v>30</v>
      </c>
      <c r="AH63">
        <v>23</v>
      </c>
      <c r="BG63">
        <v>24</v>
      </c>
      <c r="BK63">
        <v>0.6</v>
      </c>
      <c r="BP63" s="54">
        <v>100</v>
      </c>
      <c r="CL63">
        <v>7.5</v>
      </c>
      <c r="DT63">
        <v>5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215</v>
      </c>
      <c r="P64">
        <v>37.5</v>
      </c>
      <c r="AN64">
        <v>7.5</v>
      </c>
      <c r="BP64" s="54">
        <v>150</v>
      </c>
      <c r="DC64">
        <v>0.8</v>
      </c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282</v>
      </c>
      <c r="E65">
        <v>123.8</v>
      </c>
      <c r="N65">
        <v>2.3</v>
      </c>
      <c r="O65">
        <v>12</v>
      </c>
      <c r="T65">
        <v>16.5</v>
      </c>
      <c r="U65">
        <v>0.3</v>
      </c>
      <c r="W65">
        <v>13.8</v>
      </c>
      <c r="BP65" s="54">
        <v>150</v>
      </c>
      <c r="BT65">
        <v>30</v>
      </c>
      <c r="DA65">
        <v>0.2</v>
      </c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411</v>
      </c>
      <c r="C66">
        <v>44</v>
      </c>
      <c r="D66">
        <v>25</v>
      </c>
      <c r="N66">
        <v>1.5</v>
      </c>
      <c r="U66">
        <v>4</v>
      </c>
      <c r="AT66">
        <v>2.4</v>
      </c>
      <c r="BB66">
        <v>16</v>
      </c>
      <c r="BP66" s="54">
        <v>100</v>
      </c>
      <c r="BT66">
        <v>5</v>
      </c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397</v>
      </c>
      <c r="C67" s="54"/>
      <c r="D67" s="54"/>
      <c r="E67" s="54"/>
      <c r="F67" s="54"/>
      <c r="G67" s="54"/>
      <c r="H67" s="54"/>
      <c r="I67" s="54">
        <v>134.3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2.5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>
        <v>23.8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100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361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4</v>
      </c>
      <c r="O68" s="54"/>
      <c r="P68" s="54"/>
      <c r="Q68" s="54"/>
      <c r="R68" s="54">
        <v>6</v>
      </c>
      <c r="S68" s="54">
        <v>61.4</v>
      </c>
      <c r="T68" s="54"/>
      <c r="U68" s="54">
        <v>0.1</v>
      </c>
      <c r="V68" s="54"/>
      <c r="W68" s="54"/>
      <c r="X68" s="54"/>
      <c r="Y68" s="54">
        <v>64</v>
      </c>
      <c r="Z68" s="54"/>
      <c r="AA68" s="54"/>
      <c r="AB68" s="54"/>
      <c r="AC68" s="54"/>
      <c r="AD68" s="54"/>
      <c r="AE68" s="54"/>
      <c r="AF68" s="54"/>
      <c r="AG68" s="54"/>
      <c r="AH68" s="54">
        <v>8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200</v>
      </c>
      <c r="BQ68" s="54"/>
      <c r="BR68" s="54"/>
      <c r="BS68" s="54"/>
      <c r="BT68" s="54">
        <v>4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285</v>
      </c>
      <c r="E69">
        <v>121.5</v>
      </c>
      <c r="N69">
        <v>9</v>
      </c>
      <c r="AB69">
        <v>66</v>
      </c>
      <c r="AT69">
        <v>25.5</v>
      </c>
      <c r="AU69">
        <v>28.5</v>
      </c>
      <c r="AX69">
        <v>2</v>
      </c>
      <c r="BP69" s="54">
        <v>300</v>
      </c>
      <c r="CV69">
        <v>0.9</v>
      </c>
      <c r="CY69">
        <v>1.5</v>
      </c>
      <c r="DB69">
        <v>0.3</v>
      </c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563</v>
      </c>
      <c r="C70" s="54"/>
      <c r="D70" s="54"/>
      <c r="E70" s="54">
        <v>124.2</v>
      </c>
      <c r="F70" s="54"/>
      <c r="G70" s="54"/>
      <c r="H70" s="54"/>
      <c r="I70" s="54"/>
      <c r="J70" s="54"/>
      <c r="K70" s="54"/>
      <c r="L70" s="54"/>
      <c r="M70" s="54"/>
      <c r="N70" s="54">
        <v>1.8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1.2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>
        <v>2</v>
      </c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120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DG70">
        <v>0.96</v>
      </c>
      <c r="DO70">
        <v>0.48</v>
      </c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348</v>
      </c>
      <c r="C71" s="54"/>
      <c r="D71" s="54"/>
      <c r="E71" s="54">
        <v>124.2</v>
      </c>
      <c r="F71" s="54"/>
      <c r="G71" s="54"/>
      <c r="H71" s="54"/>
      <c r="I71" s="54"/>
      <c r="J71" s="54"/>
      <c r="K71" s="54"/>
      <c r="L71" s="54"/>
      <c r="M71" s="54"/>
      <c r="N71" s="54">
        <v>1.8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120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527</v>
      </c>
      <c r="E72">
        <v>170</v>
      </c>
      <c r="N72">
        <v>1.5</v>
      </c>
      <c r="X72">
        <v>2.5</v>
      </c>
      <c r="AH72">
        <v>2.5</v>
      </c>
      <c r="BA72">
        <v>2</v>
      </c>
      <c r="BP72" s="54">
        <v>100</v>
      </c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280</v>
      </c>
      <c r="E73" s="54">
        <v>124</v>
      </c>
      <c r="N73">
        <v>2.7</v>
      </c>
      <c r="AT73">
        <v>8</v>
      </c>
      <c r="AX73">
        <v>2</v>
      </c>
      <c r="BP73" s="54">
        <v>100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280</v>
      </c>
      <c r="E74">
        <v>124</v>
      </c>
      <c r="N74">
        <v>2.7</v>
      </c>
      <c r="AT74">
        <v>8</v>
      </c>
      <c r="AX74">
        <v>2</v>
      </c>
      <c r="BP74" s="54">
        <v>100</v>
      </c>
      <c r="CI74">
        <v>1</v>
      </c>
      <c r="CZ74">
        <v>0.3</v>
      </c>
      <c r="DA74">
        <v>0.3</v>
      </c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279</v>
      </c>
      <c r="C75" s="54"/>
      <c r="D75" s="54"/>
      <c r="E75" s="54">
        <v>208.4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15.3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150</v>
      </c>
      <c r="BQ75" s="54"/>
      <c r="BR75" s="54"/>
      <c r="BS75" s="54"/>
      <c r="BT75" s="54">
        <v>27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279</v>
      </c>
      <c r="C76" s="54"/>
      <c r="E76">
        <v>124.2</v>
      </c>
      <c r="N76">
        <v>1.8</v>
      </c>
      <c r="O76">
        <v>6</v>
      </c>
      <c r="U76">
        <v>0.2</v>
      </c>
      <c r="W76">
        <v>6.2</v>
      </c>
      <c r="BP76" s="54">
        <v>120</v>
      </c>
      <c r="BS76">
        <v>1.2</v>
      </c>
      <c r="BT76">
        <v>18</v>
      </c>
      <c r="DA76">
        <v>0.1</v>
      </c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281</v>
      </c>
      <c r="E77">
        <v>123.8</v>
      </c>
      <c r="N77">
        <v>2.3</v>
      </c>
      <c r="O77">
        <v>12</v>
      </c>
      <c r="U77">
        <v>0.6</v>
      </c>
      <c r="W77">
        <v>15</v>
      </c>
      <c r="BB77">
        <v>15</v>
      </c>
      <c r="BP77" s="54">
        <v>150</v>
      </c>
      <c r="BT77">
        <v>15</v>
      </c>
      <c r="DA77">
        <v>0.2</v>
      </c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253</v>
      </c>
      <c r="K78">
        <v>3.8</v>
      </c>
      <c r="BP78" s="54">
        <v>150</v>
      </c>
      <c r="DC78">
        <v>0.3</v>
      </c>
      <c r="DN78">
        <v>73.5</v>
      </c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248</v>
      </c>
      <c r="N79">
        <v>4.5</v>
      </c>
      <c r="AU79">
        <v>20.3</v>
      </c>
      <c r="AW79">
        <v>9</v>
      </c>
      <c r="AZ79">
        <v>20.3</v>
      </c>
      <c r="BP79" s="54">
        <v>150</v>
      </c>
      <c r="DC79">
        <v>0.3</v>
      </c>
      <c r="DN79">
        <v>60</v>
      </c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26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0.2</v>
      </c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>
        <v>0.2</v>
      </c>
      <c r="BO80" s="54"/>
      <c r="BP80" s="54">
        <v>200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399</v>
      </c>
      <c r="N81">
        <v>5.4</v>
      </c>
      <c r="R81">
        <v>14.4</v>
      </c>
      <c r="AC81">
        <v>18.2</v>
      </c>
      <c r="AS81">
        <v>68.4</v>
      </c>
      <c r="AT81">
        <v>14.4</v>
      </c>
      <c r="AU81">
        <v>14.4</v>
      </c>
      <c r="AX81">
        <v>5</v>
      </c>
      <c r="BP81" s="54">
        <v>180</v>
      </c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256</v>
      </c>
      <c r="N82">
        <v>5.4</v>
      </c>
      <c r="AT82">
        <v>33</v>
      </c>
      <c r="AU82">
        <v>36</v>
      </c>
      <c r="BP82" s="54">
        <v>150</v>
      </c>
      <c r="CB82">
        <v>150</v>
      </c>
      <c r="DE82">
        <v>90</v>
      </c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316</v>
      </c>
      <c r="K83">
        <v>5.2</v>
      </c>
      <c r="R83">
        <v>15</v>
      </c>
      <c r="S83">
        <v>90</v>
      </c>
      <c r="U83">
        <v>0.2</v>
      </c>
      <c r="W83">
        <v>5.1</v>
      </c>
      <c r="X83">
        <v>5.4</v>
      </c>
      <c r="AH83">
        <v>7.5</v>
      </c>
      <c r="BP83" s="54">
        <v>150</v>
      </c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295</v>
      </c>
      <c r="K84">
        <v>8.5</v>
      </c>
      <c r="O84">
        <v>85.4</v>
      </c>
      <c r="T84">
        <v>21.5</v>
      </c>
      <c r="W84">
        <v>8.6</v>
      </c>
      <c r="AD84">
        <v>19.6</v>
      </c>
      <c r="BP84" s="54">
        <v>150</v>
      </c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295</v>
      </c>
      <c r="K85">
        <v>0.9</v>
      </c>
      <c r="O85">
        <v>48</v>
      </c>
      <c r="T85">
        <v>15</v>
      </c>
      <c r="W85">
        <v>2.7</v>
      </c>
      <c r="AD85">
        <v>27.8</v>
      </c>
      <c r="BP85" s="54">
        <v>150</v>
      </c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374</v>
      </c>
      <c r="C86" s="54"/>
      <c r="D86" s="54"/>
      <c r="E86" s="54"/>
      <c r="F86" s="54"/>
      <c r="G86" s="54"/>
      <c r="H86" s="54"/>
      <c r="I86" s="54"/>
      <c r="J86" s="54">
        <v>32</v>
      </c>
      <c r="K86" s="54">
        <v>4</v>
      </c>
      <c r="L86" s="54"/>
      <c r="M86" s="54"/>
      <c r="N86" s="54">
        <v>2</v>
      </c>
      <c r="O86" s="54"/>
      <c r="P86" s="54"/>
      <c r="Q86" s="54">
        <v>140</v>
      </c>
      <c r="R86" s="54"/>
      <c r="S86" s="54"/>
      <c r="T86" s="54"/>
      <c r="U86" s="54"/>
      <c r="V86" s="54"/>
      <c r="W86" s="54">
        <v>9</v>
      </c>
      <c r="X86" s="54"/>
      <c r="Y86" s="54"/>
      <c r="Z86" s="54">
        <v>40</v>
      </c>
      <c r="AA86" s="54"/>
      <c r="AB86" s="54"/>
      <c r="AC86" s="54"/>
      <c r="AD86" s="54"/>
      <c r="AE86" s="54"/>
      <c r="AF86" s="54"/>
      <c r="AG86" s="54"/>
      <c r="AH86" s="54">
        <v>5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200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296</v>
      </c>
      <c r="J87">
        <v>24</v>
      </c>
      <c r="K87">
        <v>3</v>
      </c>
      <c r="N87">
        <v>1.5</v>
      </c>
      <c r="Q87">
        <v>105</v>
      </c>
      <c r="W87">
        <v>6.8</v>
      </c>
      <c r="Z87">
        <v>30</v>
      </c>
      <c r="AH87">
        <v>7.5</v>
      </c>
      <c r="BO87">
        <v>0.5</v>
      </c>
      <c r="BP87" s="54">
        <v>150</v>
      </c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493</v>
      </c>
      <c r="I88">
        <v>134</v>
      </c>
      <c r="K88">
        <v>2.4</v>
      </c>
      <c r="O88">
        <v>28.5</v>
      </c>
      <c r="W88">
        <v>20.6</v>
      </c>
      <c r="AT88">
        <v>22</v>
      </c>
      <c r="BP88" s="54">
        <v>120</v>
      </c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328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261</v>
      </c>
      <c r="N90">
        <v>6</v>
      </c>
      <c r="O90">
        <v>48</v>
      </c>
      <c r="U90">
        <v>0.4</v>
      </c>
      <c r="AH90">
        <v>5</v>
      </c>
      <c r="BP90" s="54">
        <v>100</v>
      </c>
      <c r="DQ90">
        <v>28</v>
      </c>
      <c r="DR90">
        <v>18.5</v>
      </c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423</v>
      </c>
      <c r="O91">
        <v>180</v>
      </c>
      <c r="BP91" s="54">
        <v>180</v>
      </c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332</v>
      </c>
      <c r="C92" s="54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359</v>
      </c>
      <c r="C93" s="54"/>
      <c r="D93" s="54"/>
      <c r="E93" s="54"/>
      <c r="F93" s="54"/>
      <c r="G93" s="54"/>
      <c r="H93" s="54"/>
      <c r="I93" s="54"/>
      <c r="J93" s="54"/>
      <c r="K93" s="54">
        <v>5</v>
      </c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30</v>
      </c>
      <c r="X93" s="54"/>
      <c r="Y93" s="54"/>
      <c r="Z93" s="54">
        <v>18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200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150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360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20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169.3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150</v>
      </c>
      <c r="BQ94" s="54"/>
      <c r="BR94" s="54"/>
      <c r="BS94" s="54"/>
      <c r="BT94" s="54">
        <v>10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148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148</v>
      </c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349</v>
      </c>
      <c r="E97">
        <v>44.4</v>
      </c>
      <c r="U97">
        <v>0.1</v>
      </c>
      <c r="W97">
        <v>5</v>
      </c>
      <c r="BB97">
        <v>10</v>
      </c>
      <c r="BP97" s="54">
        <v>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219</v>
      </c>
      <c r="BP98" s="54">
        <v>200</v>
      </c>
      <c r="DC98">
        <v>20</v>
      </c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339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242</v>
      </c>
      <c r="K100">
        <v>2.3</v>
      </c>
      <c r="N100">
        <v>3</v>
      </c>
      <c r="AC100">
        <v>45.9</v>
      </c>
      <c r="AG100">
        <v>8</v>
      </c>
      <c r="AT100">
        <v>21.8</v>
      </c>
      <c r="AU100">
        <v>27.8</v>
      </c>
      <c r="AX100">
        <v>5</v>
      </c>
      <c r="BP100" s="54">
        <v>150</v>
      </c>
      <c r="CV100">
        <v>0.9</v>
      </c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235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4.5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>
        <v>100.2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100</v>
      </c>
      <c r="BQ101" s="54"/>
      <c r="BR101" s="54"/>
      <c r="BS101" s="54"/>
      <c r="BT101" s="54"/>
      <c r="BU101" s="54"/>
      <c r="BV101" s="54"/>
      <c r="BW101" s="54"/>
      <c r="BX101" s="54"/>
      <c r="BY101" s="54">
        <v>36</v>
      </c>
      <c r="BZ101" s="54">
        <v>41.3</v>
      </c>
      <c r="CA101" s="54"/>
      <c r="CB101" s="54"/>
      <c r="CC101" s="54"/>
      <c r="CO101">
        <v>7.5</v>
      </c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175</v>
      </c>
      <c r="G102">
        <v>36.6</v>
      </c>
      <c r="N102">
        <v>7.5</v>
      </c>
      <c r="AR102">
        <v>34.5</v>
      </c>
      <c r="AT102">
        <v>8.7</v>
      </c>
      <c r="AU102">
        <v>15</v>
      </c>
      <c r="AX102">
        <v>7.5</v>
      </c>
      <c r="BP102" s="54">
        <v>150</v>
      </c>
      <c r="BR102">
        <v>22.5</v>
      </c>
      <c r="BY102">
        <v>28.1</v>
      </c>
      <c r="CX102">
        <v>15</v>
      </c>
      <c r="DI102">
        <v>0.5</v>
      </c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236</v>
      </c>
      <c r="G103">
        <v>54.9</v>
      </c>
      <c r="N103">
        <v>7.5</v>
      </c>
      <c r="AT103">
        <v>26.1</v>
      </c>
      <c r="AU103">
        <v>22.5</v>
      </c>
      <c r="AY103">
        <v>25.9</v>
      </c>
      <c r="BP103" s="54">
        <v>150</v>
      </c>
      <c r="BY103">
        <v>46.9</v>
      </c>
      <c r="CX103">
        <v>15</v>
      </c>
      <c r="DJ103">
        <v>43.1</v>
      </c>
      <c r="DK103">
        <v>0.5</v>
      </c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260</v>
      </c>
      <c r="K104">
        <v>3</v>
      </c>
      <c r="O104">
        <v>28.5</v>
      </c>
      <c r="W104">
        <v>5</v>
      </c>
      <c r="AS104">
        <v>37.5</v>
      </c>
      <c r="AU104">
        <v>80</v>
      </c>
      <c r="BP104" s="54">
        <v>150</v>
      </c>
      <c r="BR104">
        <v>45</v>
      </c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298</v>
      </c>
      <c r="N105">
        <v>9</v>
      </c>
      <c r="R105">
        <v>22.5</v>
      </c>
      <c r="U105">
        <v>0.1</v>
      </c>
      <c r="W105">
        <v>40.5</v>
      </c>
      <c r="AH105">
        <v>7.5</v>
      </c>
      <c r="AU105">
        <v>63</v>
      </c>
      <c r="BG105">
        <v>15</v>
      </c>
      <c r="BO105">
        <v>0.8</v>
      </c>
      <c r="BP105" s="54">
        <v>150</v>
      </c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375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9</v>
      </c>
      <c r="O106" s="54">
        <v>60</v>
      </c>
      <c r="P106" s="54"/>
      <c r="Q106" s="54"/>
      <c r="R106" s="54"/>
      <c r="S106" s="54"/>
      <c r="T106" s="54"/>
      <c r="U106" s="54">
        <v>0.1</v>
      </c>
      <c r="V106" s="54"/>
      <c r="W106" s="54">
        <v>40.5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4.5</v>
      </c>
      <c r="AI106" s="54"/>
      <c r="AJ106" s="54"/>
      <c r="AK106" s="54"/>
      <c r="AL106" s="54"/>
      <c r="AM106" s="54"/>
      <c r="AN106" s="54"/>
      <c r="AO106" s="54"/>
      <c r="AP106" s="54"/>
      <c r="AQ106" s="54">
        <v>58.5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>
        <v>15</v>
      </c>
      <c r="BH106" s="54"/>
      <c r="BI106" s="54"/>
      <c r="BJ106" s="54"/>
      <c r="BK106" s="54"/>
      <c r="BL106" s="54"/>
      <c r="BM106" s="54"/>
      <c r="BN106" s="54"/>
      <c r="BO106" s="54">
        <v>0.5</v>
      </c>
      <c r="BP106" s="54">
        <v>150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401</v>
      </c>
      <c r="N107">
        <v>4.5</v>
      </c>
      <c r="O107">
        <v>15</v>
      </c>
      <c r="U107">
        <v>2</v>
      </c>
      <c r="W107">
        <v>8</v>
      </c>
      <c r="BP107" s="54">
        <v>100</v>
      </c>
      <c r="DA107">
        <v>0.5</v>
      </c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400</v>
      </c>
      <c r="N108">
        <v>4.5</v>
      </c>
      <c r="O108">
        <v>15</v>
      </c>
      <c r="U108">
        <v>2</v>
      </c>
      <c r="W108">
        <v>8</v>
      </c>
      <c r="BP108" s="54">
        <v>100</v>
      </c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402</v>
      </c>
      <c r="N109">
        <v>4.5</v>
      </c>
      <c r="O109">
        <v>15</v>
      </c>
      <c r="U109">
        <v>2</v>
      </c>
      <c r="X109">
        <v>5</v>
      </c>
      <c r="BP109" s="54">
        <v>100</v>
      </c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403</v>
      </c>
      <c r="N110">
        <v>4.5</v>
      </c>
      <c r="O110">
        <v>15</v>
      </c>
      <c r="U110">
        <v>2</v>
      </c>
      <c r="X110">
        <v>5</v>
      </c>
      <c r="BP110" s="54">
        <v>100</v>
      </c>
      <c r="DA110">
        <v>0.5</v>
      </c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350</v>
      </c>
      <c r="E111">
        <v>104</v>
      </c>
      <c r="U111">
        <v>0.1</v>
      </c>
      <c r="W111">
        <v>7.7</v>
      </c>
      <c r="BP111" s="54">
        <v>75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294</v>
      </c>
      <c r="O112">
        <v>100</v>
      </c>
      <c r="U112">
        <v>0.1</v>
      </c>
      <c r="AH112">
        <v>7.5</v>
      </c>
      <c r="BB112">
        <v>30</v>
      </c>
      <c r="BM112">
        <v>0.6</v>
      </c>
      <c r="BP112" s="54">
        <v>150</v>
      </c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372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100</v>
      </c>
      <c r="P113" s="54"/>
      <c r="Q113" s="54"/>
      <c r="R113" s="54"/>
      <c r="S113" s="54"/>
      <c r="T113" s="54"/>
      <c r="U113" s="54">
        <v>0.2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10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150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299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9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46.8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12.5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126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150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299</v>
      </c>
      <c r="N115">
        <v>9</v>
      </c>
      <c r="U115">
        <v>0.1</v>
      </c>
      <c r="W115">
        <v>45.9</v>
      </c>
      <c r="AH115">
        <v>7.5</v>
      </c>
      <c r="AZ115">
        <v>123.2</v>
      </c>
      <c r="BO115">
        <v>2.1</v>
      </c>
      <c r="BP115" s="54">
        <v>150</v>
      </c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286</v>
      </c>
      <c r="E116">
        <v>123</v>
      </c>
      <c r="N116">
        <v>9</v>
      </c>
      <c r="O116">
        <v>30</v>
      </c>
      <c r="AR116">
        <v>237</v>
      </c>
      <c r="AT116">
        <v>36</v>
      </c>
      <c r="BP116" s="54">
        <v>300</v>
      </c>
      <c r="CY116">
        <v>2.1</v>
      </c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355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398</v>
      </c>
      <c r="C118" s="54">
        <v>38.9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180</v>
      </c>
      <c r="AS118" s="54"/>
      <c r="AT118" s="54">
        <v>31.3</v>
      </c>
      <c r="AU118" s="54">
        <v>31.3</v>
      </c>
      <c r="AV118" s="54"/>
      <c r="AW118" s="54"/>
      <c r="AX118" s="54">
        <v>12.5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250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365</v>
      </c>
      <c r="C119" s="54"/>
      <c r="D119" s="54">
        <v>71.4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8.6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416.7</v>
      </c>
      <c r="AS119" s="54"/>
      <c r="AT119" s="54">
        <v>60.3</v>
      </c>
      <c r="AU119" s="54"/>
      <c r="AV119" s="54"/>
      <c r="AW119" s="54"/>
      <c r="AX119" s="54">
        <v>8.6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250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408</v>
      </c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415</v>
      </c>
      <c r="D121">
        <v>120.5</v>
      </c>
      <c r="N121">
        <v>7.5</v>
      </c>
      <c r="AR121">
        <v>187.5</v>
      </c>
      <c r="AT121">
        <v>30</v>
      </c>
      <c r="AU121">
        <v>33.8</v>
      </c>
      <c r="AX121">
        <v>2</v>
      </c>
      <c r="BP121" s="54">
        <v>250</v>
      </c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305</v>
      </c>
      <c r="N122">
        <v>7.5</v>
      </c>
      <c r="BP122" s="54">
        <v>250</v>
      </c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264</v>
      </c>
      <c r="K123">
        <v>3.2</v>
      </c>
      <c r="N123">
        <v>16</v>
      </c>
      <c r="U123">
        <v>0.2</v>
      </c>
      <c r="W123">
        <v>25.5</v>
      </c>
      <c r="AH123">
        <v>5</v>
      </c>
      <c r="BO123">
        <v>0.3</v>
      </c>
      <c r="BP123" s="54">
        <v>100</v>
      </c>
      <c r="DU123">
        <v>37</v>
      </c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303</v>
      </c>
      <c r="J124">
        <v>40</v>
      </c>
      <c r="K124">
        <v>8</v>
      </c>
      <c r="N124">
        <v>1.5</v>
      </c>
      <c r="U124">
        <v>0.8</v>
      </c>
      <c r="AH124">
        <v>5</v>
      </c>
      <c r="BD124">
        <v>21</v>
      </c>
      <c r="BP124" s="54">
        <v>100</v>
      </c>
      <c r="DR124">
        <v>40.5</v>
      </c>
      <c r="DS124">
        <v>22</v>
      </c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352</v>
      </c>
      <c r="N125">
        <v>12</v>
      </c>
      <c r="O125">
        <v>12</v>
      </c>
      <c r="U125">
        <v>0.2</v>
      </c>
      <c r="W125">
        <v>60</v>
      </c>
      <c r="AH125">
        <v>5</v>
      </c>
      <c r="BM125">
        <v>0.1</v>
      </c>
      <c r="BO125">
        <v>1.5</v>
      </c>
      <c r="BP125" s="54">
        <v>100</v>
      </c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405</v>
      </c>
      <c r="C126" s="54"/>
      <c r="D126" s="54">
        <v>64.1</v>
      </c>
      <c r="E126" s="54"/>
      <c r="F126" s="54"/>
      <c r="G126" s="54"/>
      <c r="H126" s="54"/>
      <c r="I126" s="54"/>
      <c r="J126" s="54"/>
      <c r="K126" s="54">
        <v>3</v>
      </c>
      <c r="L126" s="54"/>
      <c r="M126" s="54"/>
      <c r="N126" s="54">
        <v>1.1</v>
      </c>
      <c r="O126" s="54"/>
      <c r="P126" s="54"/>
      <c r="Q126" s="54"/>
      <c r="R126" s="54"/>
      <c r="S126" s="54"/>
      <c r="T126" s="54"/>
      <c r="U126" s="54"/>
      <c r="V126" s="54"/>
      <c r="W126" s="54">
        <v>2</v>
      </c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>
        <v>103.1</v>
      </c>
      <c r="AS126" s="54"/>
      <c r="AT126" s="54">
        <v>11.6</v>
      </c>
      <c r="AU126" s="54">
        <v>22.4</v>
      </c>
      <c r="AV126" s="54"/>
      <c r="AW126" s="54"/>
      <c r="AX126" s="54">
        <v>7.5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150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284</v>
      </c>
      <c r="E127">
        <v>121.5</v>
      </c>
      <c r="N127">
        <v>9</v>
      </c>
      <c r="AC127">
        <v>66</v>
      </c>
      <c r="AT127">
        <v>16.5</v>
      </c>
      <c r="AU127">
        <v>21</v>
      </c>
      <c r="AX127">
        <v>2</v>
      </c>
      <c r="BP127" s="54">
        <v>300</v>
      </c>
      <c r="DA127">
        <v>0.3</v>
      </c>
      <c r="DL127">
        <v>35</v>
      </c>
      <c r="DO127">
        <v>0.9</v>
      </c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366</v>
      </c>
      <c r="BP128" s="54">
        <v>300</v>
      </c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337</v>
      </c>
      <c r="K129">
        <v>7</v>
      </c>
      <c r="AC129">
        <v>40</v>
      </c>
      <c r="AH129">
        <v>7</v>
      </c>
      <c r="AN129">
        <v>10</v>
      </c>
      <c r="AQ129">
        <v>36</v>
      </c>
      <c r="BP129" s="54">
        <v>200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335</v>
      </c>
      <c r="K130">
        <v>3</v>
      </c>
      <c r="O130">
        <v>46.5</v>
      </c>
      <c r="AE130">
        <v>35.6</v>
      </c>
      <c r="BP130" s="54">
        <v>150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147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>
        <v>5</v>
      </c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>
        <v>3</v>
      </c>
      <c r="AI131" s="54"/>
      <c r="AJ131" s="54"/>
      <c r="AK131" s="54"/>
      <c r="AL131" s="54"/>
      <c r="AM131" s="54"/>
      <c r="AN131" s="54"/>
      <c r="AO131" s="54"/>
      <c r="AP131" s="54"/>
      <c r="AQ131" s="54"/>
      <c r="AR131" s="54">
        <v>66.5</v>
      </c>
      <c r="AS131" s="54"/>
      <c r="AT131" s="54">
        <v>12</v>
      </c>
      <c r="AU131" s="54">
        <v>12.8</v>
      </c>
      <c r="AV131" s="54"/>
      <c r="AW131" s="54"/>
      <c r="AX131" s="54">
        <v>11.5</v>
      </c>
      <c r="AY131" s="54"/>
      <c r="AZ131" s="54">
        <v>51</v>
      </c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250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DH131">
        <v>22.5</v>
      </c>
      <c r="DI131">
        <v>0.5</v>
      </c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147</v>
      </c>
      <c r="C132" s="54"/>
      <c r="D132" s="54"/>
      <c r="E132" s="54"/>
      <c r="F132" s="54"/>
      <c r="G132" s="54"/>
      <c r="H132" s="54"/>
      <c r="I132" s="54"/>
      <c r="J132" s="54"/>
      <c r="K132" s="54">
        <v>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47.9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44</v>
      </c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150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342</v>
      </c>
      <c r="K133">
        <v>3</v>
      </c>
      <c r="AB133">
        <v>47.4</v>
      </c>
      <c r="AV133">
        <v>43.9</v>
      </c>
      <c r="BA133">
        <v>2.4</v>
      </c>
      <c r="BP133" s="54">
        <v>150</v>
      </c>
      <c r="DB133">
        <v>0.3</v>
      </c>
      <c r="DP133">
        <v>0.6</v>
      </c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338</v>
      </c>
      <c r="K134">
        <v>3</v>
      </c>
      <c r="AB134">
        <v>47.4</v>
      </c>
      <c r="AV134">
        <v>43.9</v>
      </c>
      <c r="BA134">
        <v>2.4</v>
      </c>
      <c r="BP134" s="54">
        <v>150</v>
      </c>
      <c r="DB134">
        <v>0.3</v>
      </c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396</v>
      </c>
      <c r="C135" s="54"/>
      <c r="D135" s="54"/>
      <c r="E135" s="54"/>
      <c r="F135" s="54"/>
      <c r="G135" s="54"/>
      <c r="H135" s="54"/>
      <c r="I135" s="54"/>
      <c r="J135" s="54"/>
      <c r="K135" s="54">
        <v>3</v>
      </c>
      <c r="L135" s="54"/>
      <c r="M135" s="54"/>
      <c r="N135" s="54"/>
      <c r="O135" s="54">
        <v>40.9</v>
      </c>
      <c r="P135" s="54"/>
      <c r="Q135" s="54"/>
      <c r="R135" s="54">
        <v>11</v>
      </c>
      <c r="S135" s="54"/>
      <c r="T135" s="54"/>
      <c r="U135" s="54"/>
      <c r="V135" s="54"/>
      <c r="W135" s="54"/>
      <c r="X135" s="54"/>
      <c r="Y135" s="54"/>
      <c r="Z135" s="54"/>
      <c r="AA135" s="54"/>
      <c r="AB135" s="54">
        <v>46.4</v>
      </c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>
        <v>33.3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150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367</v>
      </c>
      <c r="C136" s="54"/>
      <c r="D136" s="54"/>
      <c r="E136" s="54"/>
      <c r="F136" s="54"/>
      <c r="G136" s="54"/>
      <c r="H136" s="54"/>
      <c r="I136" s="54"/>
      <c r="J136" s="54"/>
      <c r="K136" s="54">
        <v>4</v>
      </c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>
        <v>133.3</v>
      </c>
      <c r="AS136" s="54"/>
      <c r="AT136" s="54"/>
      <c r="AU136" s="54">
        <v>121.9</v>
      </c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200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362</v>
      </c>
      <c r="C137" s="54"/>
      <c r="D137" s="54"/>
      <c r="E137" s="54"/>
      <c r="F137" s="54"/>
      <c r="G137" s="54"/>
      <c r="H137" s="54"/>
      <c r="I137" s="54"/>
      <c r="J137" s="54"/>
      <c r="K137" s="54">
        <v>5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>
        <v>166.7</v>
      </c>
      <c r="AS137" s="54"/>
      <c r="AT137" s="54"/>
      <c r="AU137" s="54">
        <v>152.3</v>
      </c>
      <c r="AV137" s="54"/>
      <c r="AW137" s="54"/>
      <c r="AX137" s="54"/>
      <c r="AY137" s="54"/>
      <c r="AZ137" s="54"/>
      <c r="BA137" s="54">
        <v>0.5</v>
      </c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250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274</v>
      </c>
      <c r="C138" s="54"/>
      <c r="D138" s="54"/>
      <c r="E138" s="54">
        <v>104.2</v>
      </c>
      <c r="F138" s="54"/>
      <c r="G138" s="54">
        <v>148.1</v>
      </c>
      <c r="H138" s="54"/>
      <c r="I138" s="54"/>
      <c r="J138" s="54"/>
      <c r="K138" s="54"/>
      <c r="L138" s="54"/>
      <c r="M138" s="54"/>
      <c r="N138" s="54">
        <v>8</v>
      </c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>
        <v>52.6</v>
      </c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250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271</v>
      </c>
      <c r="C139" s="54"/>
      <c r="D139" s="54"/>
      <c r="E139" s="54"/>
      <c r="F139" s="54"/>
      <c r="G139" s="54"/>
      <c r="H139" s="54"/>
      <c r="I139" s="54">
        <v>156.9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12.2</v>
      </c>
      <c r="AU139" s="54">
        <v>14.8</v>
      </c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100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269</v>
      </c>
      <c r="I140">
        <v>133.5</v>
      </c>
      <c r="N140">
        <v>9</v>
      </c>
      <c r="AR140">
        <v>240</v>
      </c>
      <c r="AT140">
        <v>28.8</v>
      </c>
      <c r="AU140">
        <v>32.4</v>
      </c>
      <c r="BP140" s="54">
        <v>300</v>
      </c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273</v>
      </c>
      <c r="I141">
        <v>133.8</v>
      </c>
      <c r="N141">
        <v>3.6</v>
      </c>
      <c r="AT141">
        <v>21.6</v>
      </c>
      <c r="AU141">
        <v>24</v>
      </c>
      <c r="AX141">
        <v>3.6</v>
      </c>
      <c r="BP141" s="54">
        <v>120</v>
      </c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275</v>
      </c>
      <c r="I142">
        <v>100</v>
      </c>
      <c r="N142">
        <v>6.8</v>
      </c>
      <c r="AR142">
        <v>180</v>
      </c>
      <c r="AT142">
        <v>21.6</v>
      </c>
      <c r="AU142">
        <v>24.3</v>
      </c>
      <c r="AX142">
        <v>4.5</v>
      </c>
      <c r="BP142" s="54">
        <v>225</v>
      </c>
      <c r="DA142">
        <v>0.7</v>
      </c>
      <c r="DB142">
        <v>0.2</v>
      </c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272</v>
      </c>
      <c r="I143">
        <v>133.8</v>
      </c>
      <c r="U143">
        <v>0.1</v>
      </c>
      <c r="X143">
        <v>3</v>
      </c>
      <c r="AT143">
        <v>24</v>
      </c>
      <c r="BP143" s="54">
        <v>120</v>
      </c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270</v>
      </c>
      <c r="I144">
        <v>133</v>
      </c>
      <c r="N144">
        <v>2.8</v>
      </c>
      <c r="U144">
        <v>0.1</v>
      </c>
      <c r="W144">
        <v>11.2</v>
      </c>
      <c r="BP144" s="54">
        <v>140</v>
      </c>
      <c r="BT144">
        <v>16.8</v>
      </c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233</v>
      </c>
      <c r="I145">
        <v>95</v>
      </c>
      <c r="U145">
        <v>8</v>
      </c>
      <c r="W145">
        <v>8.5</v>
      </c>
      <c r="BP145" s="54">
        <v>100</v>
      </c>
      <c r="BT145">
        <v>20</v>
      </c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251</v>
      </c>
      <c r="I146">
        <v>163.2</v>
      </c>
      <c r="U146">
        <v>0.1</v>
      </c>
      <c r="AT146">
        <v>28.6</v>
      </c>
      <c r="BP146" s="54">
        <v>120</v>
      </c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244</v>
      </c>
      <c r="N147">
        <v>4.5</v>
      </c>
      <c r="AC147">
        <v>26.3</v>
      </c>
      <c r="AG147">
        <v>8</v>
      </c>
      <c r="AT147">
        <v>13.4</v>
      </c>
      <c r="AU147">
        <v>9</v>
      </c>
      <c r="BP147" s="54">
        <v>150</v>
      </c>
      <c r="BR147">
        <v>15</v>
      </c>
      <c r="CI147">
        <v>2.3</v>
      </c>
      <c r="DB147">
        <v>0.2</v>
      </c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492</v>
      </c>
      <c r="C148" s="54"/>
      <c r="D148" s="54"/>
      <c r="E148" s="54">
        <v>62.5</v>
      </c>
      <c r="F148" s="54"/>
      <c r="G148" s="54"/>
      <c r="H148" s="54"/>
      <c r="I148" s="54"/>
      <c r="J148" s="54"/>
      <c r="K148" s="54"/>
      <c r="L148" s="54"/>
      <c r="M148" s="54"/>
      <c r="N148" s="54">
        <v>5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76.5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35</v>
      </c>
      <c r="AU148" s="54">
        <v>31.3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>
        <v>250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519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5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119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100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5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26.1</v>
      </c>
      <c r="AS150" s="54"/>
      <c r="AT150" s="54"/>
      <c r="AU150" s="54"/>
      <c r="AV150" s="54">
        <v>27.1</v>
      </c>
      <c r="AW150" s="54"/>
      <c r="AX150" s="54"/>
      <c r="AY150" s="54"/>
      <c r="AZ150" s="54">
        <v>78.9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100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163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10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98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100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K151">
        <v>5</v>
      </c>
      <c r="CL151">
        <v>20</v>
      </c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171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3</v>
      </c>
      <c r="O152" s="54"/>
      <c r="P152" s="54"/>
      <c r="Q152" s="54"/>
      <c r="R152" s="54"/>
      <c r="S152" s="54"/>
      <c r="T152" s="54">
        <v>10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45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132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100</v>
      </c>
      <c r="BS152">
        <v>0.3</v>
      </c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318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5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4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121.1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100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142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5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14.7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115.6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100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135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5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109</v>
      </c>
      <c r="BA155" s="54"/>
      <c r="BB155" s="54"/>
      <c r="BC155" s="54">
        <v>20.4</v>
      </c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100</v>
      </c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162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10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2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113.4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100</v>
      </c>
      <c r="BQ156" s="54"/>
      <c r="BR156" s="54"/>
      <c r="BS156" s="54"/>
      <c r="BT156" s="54"/>
      <c r="BU156" s="54"/>
      <c r="BV156" s="54"/>
      <c r="BW156" s="54"/>
      <c r="BX156" s="54">
        <v>5</v>
      </c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505</v>
      </c>
      <c r="N157">
        <v>3</v>
      </c>
      <c r="BE157">
        <v>98</v>
      </c>
      <c r="BP157" s="54">
        <v>100</v>
      </c>
      <c r="BR157">
        <v>16.5</v>
      </c>
      <c r="BS157">
        <v>0.5</v>
      </c>
      <c r="CN157">
        <v>15</v>
      </c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141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5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>
        <v>15</v>
      </c>
      <c r="AI158" s="54"/>
      <c r="AJ158" s="54"/>
      <c r="AK158" s="54"/>
      <c r="AL158" s="54"/>
      <c r="AM158" s="54"/>
      <c r="AN158" s="54"/>
      <c r="AO158" s="54"/>
      <c r="AP158" s="54"/>
      <c r="AQ158" s="54">
        <v>39.8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93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100</v>
      </c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192</v>
      </c>
      <c r="N159">
        <v>4.5</v>
      </c>
      <c r="Y159">
        <v>36.8</v>
      </c>
      <c r="AU159">
        <v>37.5</v>
      </c>
      <c r="AZ159">
        <v>45</v>
      </c>
      <c r="BP159" s="54">
        <v>150</v>
      </c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179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4.5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130.5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150</v>
      </c>
      <c r="BS160">
        <v>1.5</v>
      </c>
      <c r="CQ160">
        <v>85.5</v>
      </c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136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5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124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100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184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3.5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10</v>
      </c>
      <c r="AO162" s="54"/>
      <c r="AP162" s="54"/>
      <c r="AQ162" s="54"/>
      <c r="AR162" s="54"/>
      <c r="AS162" s="54">
        <v>138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100</v>
      </c>
      <c r="BS162">
        <v>1</v>
      </c>
      <c r="CS162">
        <v>0.2</v>
      </c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137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3.5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108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5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100</v>
      </c>
      <c r="BQ163" s="54"/>
      <c r="BR163" s="54">
        <v>12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203</v>
      </c>
      <c r="L164">
        <v>2.8</v>
      </c>
      <c r="N164">
        <v>4.7</v>
      </c>
      <c r="AG164">
        <v>24</v>
      </c>
      <c r="AQ164">
        <v>45</v>
      </c>
      <c r="AS164">
        <v>62.5</v>
      </c>
      <c r="BP164" s="54">
        <v>100</v>
      </c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161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>
        <v>5</v>
      </c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>
        <v>104</v>
      </c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>
        <v>3.5</v>
      </c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>
        <v>100</v>
      </c>
      <c r="BQ165" s="54"/>
      <c r="BR165" s="54">
        <v>9.2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196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v>5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112.5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>
        <v>5.1</v>
      </c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100</v>
      </c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201</v>
      </c>
      <c r="L167">
        <v>2.8</v>
      </c>
      <c r="N167">
        <v>4.7</v>
      </c>
      <c r="AS167">
        <v>67.5</v>
      </c>
      <c r="AU167">
        <v>20</v>
      </c>
      <c r="BP167" s="54">
        <v>100</v>
      </c>
      <c r="BR167">
        <v>22</v>
      </c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208</v>
      </c>
      <c r="L168">
        <v>2.8</v>
      </c>
      <c r="N168">
        <v>4.7</v>
      </c>
      <c r="AS168">
        <v>75</v>
      </c>
      <c r="BP168" s="54">
        <v>100</v>
      </c>
      <c r="BZ168">
        <v>41.2</v>
      </c>
      <c r="CW168">
        <v>2.7</v>
      </c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204</v>
      </c>
      <c r="L169">
        <v>2.8</v>
      </c>
      <c r="N169">
        <v>4.7</v>
      </c>
      <c r="BP169" s="54">
        <v>100</v>
      </c>
      <c r="BZ169">
        <v>87.5</v>
      </c>
      <c r="CZ169">
        <v>2</v>
      </c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76</v>
      </c>
      <c r="AT170" s="54"/>
      <c r="AU170" s="54">
        <v>40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100</v>
      </c>
      <c r="BS170">
        <v>1</v>
      </c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214</v>
      </c>
      <c r="R171">
        <v>12</v>
      </c>
      <c r="AS171">
        <v>83.8</v>
      </c>
      <c r="BP171" s="54">
        <v>100</v>
      </c>
      <c r="BZ171">
        <v>23.5</v>
      </c>
      <c r="CW171">
        <v>2.4</v>
      </c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188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20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95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100</v>
      </c>
      <c r="CT172">
        <v>5</v>
      </c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30">
      <c r="A173">
        <v>128</v>
      </c>
      <c r="B173" s="54" t="s">
        <v>174</v>
      </c>
      <c r="C173" s="54"/>
      <c r="D173" s="54"/>
      <c r="E173" s="113"/>
      <c r="F173" s="54"/>
      <c r="G173" s="54"/>
      <c r="H173" s="54"/>
      <c r="I173" s="54"/>
      <c r="J173" s="54"/>
      <c r="K173" s="54"/>
      <c r="L173" s="54"/>
      <c r="M173" s="54"/>
      <c r="N173" s="54">
        <v>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35</v>
      </c>
      <c r="AT173" s="54"/>
      <c r="AU173" s="54">
        <v>37</v>
      </c>
      <c r="AV173" s="54"/>
      <c r="AW173" s="54">
        <v>46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100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L173">
        <v>3</v>
      </c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210</v>
      </c>
      <c r="N174">
        <v>3</v>
      </c>
      <c r="S174">
        <v>72</v>
      </c>
      <c r="BP174" s="54">
        <v>100</v>
      </c>
      <c r="BY174">
        <v>26.7</v>
      </c>
      <c r="CW174">
        <v>4.1</v>
      </c>
      <c r="CY174">
        <v>3.8</v>
      </c>
      <c r="DA174">
        <v>0.3</v>
      </c>
      <c r="DB174">
        <v>0.1</v>
      </c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324</v>
      </c>
      <c r="C175" s="54"/>
      <c r="D175" s="54"/>
      <c r="E175" s="54"/>
      <c r="F175" s="54"/>
      <c r="G175" s="54"/>
      <c r="H175" s="54">
        <v>56</v>
      </c>
      <c r="I175" s="54"/>
      <c r="J175" s="54"/>
      <c r="K175" s="54"/>
      <c r="L175" s="54"/>
      <c r="M175" s="54"/>
      <c r="N175" s="54">
        <v>5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1.5</v>
      </c>
      <c r="AI175" s="54"/>
      <c r="AJ175" s="54"/>
      <c r="AK175" s="54"/>
      <c r="AL175" s="54"/>
      <c r="AM175" s="54"/>
      <c r="AN175" s="54"/>
      <c r="AO175" s="54"/>
      <c r="AP175" s="54"/>
      <c r="AQ175" s="54">
        <v>25</v>
      </c>
      <c r="AR175" s="54">
        <v>41.2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100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322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1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25</v>
      </c>
      <c r="AT176" s="54"/>
      <c r="AU176" s="54">
        <v>75.4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100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187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1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28.5</v>
      </c>
      <c r="AT177" s="54"/>
      <c r="AU177" s="54">
        <v>80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100</v>
      </c>
      <c r="BS177">
        <v>2</v>
      </c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186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>
        <v>2.8</v>
      </c>
      <c r="M178" s="54"/>
      <c r="N178" s="54">
        <v>4.7</v>
      </c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129.5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100</v>
      </c>
      <c r="CR178">
        <v>0.5</v>
      </c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170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131</v>
      </c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100</v>
      </c>
      <c r="CP179">
        <v>0.3</v>
      </c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177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>
        <v>2.5</v>
      </c>
      <c r="O180" s="54"/>
      <c r="P180" s="54"/>
      <c r="Q180" s="54"/>
      <c r="R180" s="54">
        <v>12</v>
      </c>
      <c r="S180" s="54"/>
      <c r="T180" s="54">
        <v>12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>
        <v>90.4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100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326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>
        <v>2.8</v>
      </c>
      <c r="M181" s="54"/>
      <c r="N181" s="54">
        <v>4.7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>
        <v>47</v>
      </c>
      <c r="AR181" s="54"/>
      <c r="AS181" s="54"/>
      <c r="AT181" s="54"/>
      <c r="AU181" s="54">
        <v>74.8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100</v>
      </c>
      <c r="BQ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173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12</v>
      </c>
      <c r="S182" s="54"/>
      <c r="T182" s="54">
        <v>12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>
        <v>103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100</v>
      </c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>
        <v>3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131</v>
      </c>
      <c r="AV183" s="54"/>
      <c r="AW183" s="54"/>
      <c r="AX183" s="54"/>
      <c r="AY183" s="54"/>
      <c r="AZ183" s="54"/>
      <c r="BA183" s="54">
        <v>0.4</v>
      </c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100</v>
      </c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213</v>
      </c>
      <c r="N184">
        <v>3</v>
      </c>
      <c r="T184">
        <v>31</v>
      </c>
      <c r="AY184">
        <v>67.1</v>
      </c>
      <c r="BP184" s="54">
        <v>100</v>
      </c>
      <c r="CW184">
        <v>13.5</v>
      </c>
      <c r="DA184">
        <v>0.5</v>
      </c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395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5</v>
      </c>
      <c r="O185" s="54"/>
      <c r="P185" s="54"/>
      <c r="Q185" s="54"/>
      <c r="R185" s="54"/>
      <c r="S185" s="54"/>
      <c r="T185" s="54"/>
      <c r="U185" s="54">
        <v>0.2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>
        <v>51.4</v>
      </c>
      <c r="AT185" s="54"/>
      <c r="AU185" s="54"/>
      <c r="AV185" s="54"/>
      <c r="AW185" s="54"/>
      <c r="AX185" s="54"/>
      <c r="AY185" s="54">
        <v>27.1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100</v>
      </c>
      <c r="BQ185" s="54"/>
      <c r="BR185" s="54"/>
      <c r="BS185" s="54"/>
      <c r="BT185" s="54"/>
      <c r="BU185" s="54"/>
      <c r="BV185" s="54"/>
      <c r="BW185" s="54"/>
      <c r="BX185" s="54"/>
      <c r="BY185" s="54"/>
      <c r="BZ185" s="54">
        <v>28.8</v>
      </c>
      <c r="CA185" s="54"/>
      <c r="CB185" s="54"/>
      <c r="CC185" s="54"/>
      <c r="CD185" s="54"/>
      <c r="CE185" s="54"/>
      <c r="CF185" s="54"/>
      <c r="CG185" s="54"/>
      <c r="CH185" s="54"/>
      <c r="CI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200</v>
      </c>
      <c r="N186">
        <v>3</v>
      </c>
      <c r="U186">
        <v>0.5</v>
      </c>
      <c r="AS186">
        <v>46.3</v>
      </c>
      <c r="AY186">
        <v>28.3</v>
      </c>
      <c r="BP186" s="54">
        <v>100</v>
      </c>
      <c r="BZ186">
        <v>30</v>
      </c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319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5</v>
      </c>
      <c r="P187" s="54"/>
      <c r="Q187" s="54"/>
      <c r="R187" s="54">
        <v>10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100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93.5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205</v>
      </c>
      <c r="L188">
        <v>0.5</v>
      </c>
      <c r="N188">
        <v>3</v>
      </c>
      <c r="BP188" s="54">
        <v>100</v>
      </c>
      <c r="BZ188">
        <v>88.1</v>
      </c>
      <c r="CX188">
        <v>25</v>
      </c>
      <c r="CY188">
        <v>3.8</v>
      </c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138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5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16.8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64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100</v>
      </c>
      <c r="BQ189" s="54"/>
      <c r="BR189" s="54">
        <v>3.1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321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>
        <v>4.7</v>
      </c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>
        <v>95</v>
      </c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100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190</v>
      </c>
      <c r="N191">
        <v>5</v>
      </c>
      <c r="AQ191">
        <v>30</v>
      </c>
      <c r="AV191">
        <v>43</v>
      </c>
      <c r="AZ191">
        <v>54</v>
      </c>
      <c r="BP191" s="54">
        <v>100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139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>
        <v>2.8</v>
      </c>
      <c r="M192" s="54"/>
      <c r="N192" s="54">
        <v>4.7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83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100</v>
      </c>
      <c r="CU192">
        <v>38</v>
      </c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323</v>
      </c>
      <c r="R193" s="54">
        <v>20</v>
      </c>
      <c r="U193">
        <v>16</v>
      </c>
      <c r="AT193">
        <v>37.5</v>
      </c>
      <c r="BP193" s="54">
        <v>100</v>
      </c>
      <c r="CV193">
        <v>1</v>
      </c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491</v>
      </c>
      <c r="R194">
        <v>20</v>
      </c>
      <c r="T194">
        <v>16</v>
      </c>
      <c r="U194">
        <v>1</v>
      </c>
      <c r="AT194">
        <v>37.5</v>
      </c>
      <c r="BP194" s="54">
        <v>75</v>
      </c>
      <c r="CU194">
        <v>1</v>
      </c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197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41.7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34.1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100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45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490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>
        <v>5</v>
      </c>
      <c r="M196" s="54"/>
      <c r="N196" s="54">
        <v>5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>
        <v>1</v>
      </c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>
        <v>27.4</v>
      </c>
      <c r="AU196" s="54"/>
      <c r="AV196" s="54"/>
      <c r="AW196" s="54"/>
      <c r="AX196" s="54"/>
      <c r="AY196" s="54">
        <v>84.7</v>
      </c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100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393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5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>
        <v>11.3</v>
      </c>
      <c r="AU197" s="54"/>
      <c r="AV197" s="54"/>
      <c r="AW197" s="54"/>
      <c r="AX197" s="54"/>
      <c r="AY197" s="54">
        <v>74.1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100</v>
      </c>
      <c r="BQ197" s="54"/>
      <c r="BR197" s="54"/>
      <c r="BS197" s="54"/>
      <c r="BT197" s="54"/>
      <c r="BU197" s="54"/>
      <c r="BV197" s="54"/>
      <c r="BW197" s="54"/>
      <c r="BX197" s="54"/>
      <c r="BY197" s="54">
        <v>30.7</v>
      </c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394</v>
      </c>
      <c r="L198">
        <v>5</v>
      </c>
      <c r="N198">
        <v>3</v>
      </c>
      <c r="AH198">
        <v>1</v>
      </c>
      <c r="AT198">
        <v>27.4</v>
      </c>
      <c r="AY198">
        <v>88.2</v>
      </c>
      <c r="BP198" s="54">
        <v>100</v>
      </c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198</v>
      </c>
      <c r="N199">
        <v>3</v>
      </c>
      <c r="AU199">
        <v>15.2</v>
      </c>
      <c r="AY199">
        <v>75.3</v>
      </c>
      <c r="BP199" s="54">
        <v>100</v>
      </c>
      <c r="BY199">
        <v>30.7</v>
      </c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199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>
        <v>3</v>
      </c>
      <c r="P200" s="90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90"/>
      <c r="AX200" s="55"/>
      <c r="AY200" s="55"/>
      <c r="AZ200" s="55">
        <v>129.5</v>
      </c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4">
        <v>100</v>
      </c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4"/>
      <c r="CF200" s="54"/>
      <c r="CG200" s="54"/>
      <c r="CH200" s="54"/>
      <c r="CI200" s="54"/>
      <c r="CJ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160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90"/>
      <c r="Q201" s="55"/>
      <c r="R201" s="55">
        <v>16</v>
      </c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90"/>
      <c r="AX201" s="55"/>
      <c r="AY201" s="55"/>
      <c r="AZ201" s="55">
        <v>114</v>
      </c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4">
        <v>100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159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>
        <v>5</v>
      </c>
      <c r="P202" s="54"/>
      <c r="Q202" s="54"/>
      <c r="R202" s="54">
        <v>10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>
        <v>24</v>
      </c>
      <c r="AU202" s="54"/>
      <c r="AV202" s="54"/>
      <c r="AW202" s="54"/>
      <c r="AX202" s="54"/>
      <c r="AY202" s="54"/>
      <c r="AZ202" s="54"/>
      <c r="BA202" s="54"/>
      <c r="BB202" s="54"/>
      <c r="BC202" s="54">
        <v>5</v>
      </c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100</v>
      </c>
      <c r="BQ202" s="54"/>
      <c r="BR202" s="54"/>
      <c r="BS202" s="54"/>
      <c r="BT202" s="54"/>
      <c r="BU202" s="54"/>
      <c r="BV202" s="54"/>
      <c r="BW202" s="54"/>
      <c r="BX202" s="54"/>
      <c r="BY202" s="54">
        <v>72</v>
      </c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194</v>
      </c>
      <c r="N203">
        <v>3</v>
      </c>
      <c r="U203">
        <v>1</v>
      </c>
      <c r="BP203" s="54">
        <v>100</v>
      </c>
      <c r="BR203">
        <v>60</v>
      </c>
      <c r="BS203">
        <v>0.5</v>
      </c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320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>
        <v>5</v>
      </c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>
        <v>100</v>
      </c>
      <c r="AS204" s="54"/>
      <c r="AT204" s="54"/>
      <c r="AU204" s="54"/>
      <c r="AV204" s="54"/>
      <c r="AW204" s="54">
        <v>22.2</v>
      </c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100</v>
      </c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195</v>
      </c>
      <c r="N205">
        <v>3.5</v>
      </c>
      <c r="AU205">
        <v>16.3</v>
      </c>
      <c r="AW205">
        <v>26.8</v>
      </c>
      <c r="BP205" s="54">
        <v>100</v>
      </c>
      <c r="BR205">
        <v>6.8</v>
      </c>
      <c r="BV205">
        <v>20.4</v>
      </c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140</v>
      </c>
      <c r="C206" s="55"/>
      <c r="D206" s="55"/>
      <c r="E206" s="55"/>
      <c r="F206" s="55"/>
      <c r="G206" s="55"/>
      <c r="H206" s="55"/>
      <c r="I206" s="55"/>
      <c r="J206" s="55">
        <v>45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>
        <v>41</v>
      </c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4">
        <v>100</v>
      </c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L206">
        <v>16</v>
      </c>
      <c r="CM206">
        <v>35</v>
      </c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325</v>
      </c>
      <c r="N207">
        <v>4.5</v>
      </c>
      <c r="AZ207">
        <v>54.7</v>
      </c>
      <c r="BB207">
        <v>4</v>
      </c>
      <c r="BP207" s="54">
        <v>100</v>
      </c>
      <c r="BV207">
        <v>23.5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167</v>
      </c>
      <c r="F208" s="54"/>
      <c r="R208" s="54">
        <v>10</v>
      </c>
      <c r="U208">
        <v>1.5</v>
      </c>
      <c r="AQ208">
        <v>20</v>
      </c>
      <c r="BP208" s="54">
        <v>100</v>
      </c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489</v>
      </c>
      <c r="AO209">
        <v>200</v>
      </c>
      <c r="BP209" s="54">
        <v>200</v>
      </c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289</v>
      </c>
      <c r="BP210" s="54">
        <v>200</v>
      </c>
      <c r="DE210">
        <v>200</v>
      </c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424</v>
      </c>
      <c r="AO211">
        <v>200</v>
      </c>
      <c r="BP211" s="54">
        <v>200</v>
      </c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425</v>
      </c>
      <c r="N212">
        <v>10</v>
      </c>
      <c r="O212">
        <v>20</v>
      </c>
      <c r="R212">
        <v>20</v>
      </c>
      <c r="W212">
        <v>45</v>
      </c>
      <c r="AH212">
        <v>10</v>
      </c>
      <c r="BK212">
        <v>1</v>
      </c>
      <c r="BP212" s="54">
        <v>100</v>
      </c>
      <c r="CP212">
        <v>0.7</v>
      </c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308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>
        <v>0.9</v>
      </c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2.5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>
        <v>6.4</v>
      </c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>
        <v>30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380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>
        <v>0.8</v>
      </c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>
        <v>7.5</v>
      </c>
      <c r="AT214" s="54"/>
      <c r="AU214" s="54">
        <v>3.8</v>
      </c>
      <c r="AV214" s="54"/>
      <c r="AW214" s="54"/>
      <c r="AX214" s="54">
        <v>3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379</v>
      </c>
      <c r="C215" s="54"/>
      <c r="D215" s="54"/>
      <c r="E215" s="54"/>
      <c r="F215" s="54"/>
      <c r="G215" s="54"/>
      <c r="H215" s="54"/>
      <c r="I215" s="54"/>
      <c r="J215" s="54"/>
      <c r="K215" s="54">
        <v>0.9</v>
      </c>
      <c r="L215" s="54"/>
      <c r="M215" s="54"/>
      <c r="N215" s="54"/>
      <c r="O215" s="54">
        <v>47.5</v>
      </c>
      <c r="P215" s="54"/>
      <c r="Q215" s="54"/>
      <c r="R215" s="54"/>
      <c r="S215" s="54"/>
      <c r="T215" s="54"/>
      <c r="U215" s="54"/>
      <c r="V215" s="54"/>
      <c r="W215" s="54">
        <v>2.65</v>
      </c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50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383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>
        <v>2.8</v>
      </c>
      <c r="M216" s="54"/>
      <c r="N216" s="54">
        <v>4.7</v>
      </c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50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378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>
        <v>0.8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>
        <v>1</v>
      </c>
      <c r="Y217" s="54"/>
      <c r="Z217" s="54"/>
      <c r="AA217" s="54"/>
      <c r="AB217" s="54"/>
      <c r="AC217" s="54"/>
      <c r="AD217" s="54"/>
      <c r="AE217" s="54"/>
      <c r="AF217" s="54"/>
      <c r="AG217" s="54"/>
      <c r="AH217" s="54">
        <v>3.4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376</v>
      </c>
      <c r="C218" s="54"/>
      <c r="D218" s="54"/>
      <c r="E218" s="54"/>
      <c r="F218" s="54"/>
      <c r="G218" s="54"/>
      <c r="H218" s="54"/>
      <c r="I218" s="54"/>
      <c r="J218" s="54"/>
      <c r="K218" s="54">
        <v>2.8</v>
      </c>
      <c r="L218" s="54"/>
      <c r="M218" s="54"/>
      <c r="N218" s="54"/>
      <c r="O218" s="54">
        <v>25</v>
      </c>
      <c r="P218" s="54"/>
      <c r="Q218" s="54"/>
      <c r="R218" s="54"/>
      <c r="S218" s="54"/>
      <c r="T218" s="54"/>
      <c r="U218" s="54"/>
      <c r="V218" s="54"/>
      <c r="W218" s="54">
        <v>2.8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2.5</v>
      </c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>
        <v>50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387</v>
      </c>
      <c r="C219" s="54"/>
      <c r="D219" s="54"/>
      <c r="E219" s="54"/>
      <c r="F219" s="54"/>
      <c r="G219" s="54"/>
      <c r="H219" s="54"/>
      <c r="I219" s="54"/>
      <c r="J219" s="54"/>
      <c r="K219" s="54">
        <v>0.6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1.3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7.8</v>
      </c>
      <c r="AU219" s="54">
        <v>7.8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50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384</v>
      </c>
      <c r="C220" s="54"/>
      <c r="D220" s="54"/>
      <c r="E220" s="54"/>
      <c r="F220" s="54"/>
      <c r="G220" s="54"/>
      <c r="H220" s="54"/>
      <c r="I220" s="54">
        <v>55</v>
      </c>
      <c r="J220" s="54"/>
      <c r="K220" s="54">
        <v>2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>
        <v>3</v>
      </c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>
        <v>3</v>
      </c>
      <c r="AU220" s="54">
        <v>31</v>
      </c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385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>
        <v>0.1</v>
      </c>
      <c r="AH221" s="54">
        <v>1.3</v>
      </c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2</v>
      </c>
      <c r="AU221" s="54">
        <v>2.9</v>
      </c>
      <c r="AV221" s="54"/>
      <c r="AW221" s="54"/>
      <c r="AX221" s="54">
        <v>16.6</v>
      </c>
      <c r="AY221" s="54"/>
      <c r="AZ221" s="54"/>
      <c r="BA221" s="54">
        <v>0.1</v>
      </c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50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377</v>
      </c>
      <c r="C222" s="54"/>
      <c r="D222" s="54"/>
      <c r="E222" s="54"/>
      <c r="F222" s="54"/>
      <c r="G222" s="54"/>
      <c r="H222" s="54"/>
      <c r="I222" s="54">
        <v>20.1</v>
      </c>
      <c r="J222" s="54"/>
      <c r="K222" s="54">
        <v>1.3</v>
      </c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>
        <v>0.2</v>
      </c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>
        <v>0.8</v>
      </c>
      <c r="AU222" s="54">
        <v>8.4</v>
      </c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50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386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>
        <v>1.2</v>
      </c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>
        <v>12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32.2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>
        <v>0.1</v>
      </c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381</v>
      </c>
      <c r="C224" s="54"/>
      <c r="D224" s="54"/>
      <c r="E224" s="54"/>
      <c r="F224" s="54"/>
      <c r="G224" s="54"/>
      <c r="H224" s="54"/>
      <c r="I224" s="54"/>
      <c r="J224" s="54"/>
      <c r="K224" s="54">
        <v>0.8</v>
      </c>
      <c r="L224" s="54"/>
      <c r="M224" s="54"/>
      <c r="N224" s="54">
        <v>0.3</v>
      </c>
      <c r="O224" s="54"/>
      <c r="P224" s="54"/>
      <c r="Q224" s="54"/>
      <c r="R224" s="54"/>
      <c r="S224" s="54"/>
      <c r="T224" s="54"/>
      <c r="U224" s="54"/>
      <c r="V224" s="54"/>
      <c r="W224" s="54">
        <v>3</v>
      </c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>
        <v>1</v>
      </c>
      <c r="AU224" s="54">
        <v>5</v>
      </c>
      <c r="AV224" s="54"/>
      <c r="AW224" s="54"/>
      <c r="AX224" s="54">
        <v>5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50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392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>
        <v>20</v>
      </c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6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30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382</v>
      </c>
      <c r="K226">
        <v>3</v>
      </c>
      <c r="BP226" s="54">
        <v>150</v>
      </c>
      <c r="CP226">
        <v>0.4</v>
      </c>
      <c r="DF226">
        <v>72.8</v>
      </c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234</v>
      </c>
      <c r="N227">
        <v>5</v>
      </c>
      <c r="AT227">
        <v>14.5</v>
      </c>
      <c r="AU227">
        <v>11.3</v>
      </c>
      <c r="BP227" s="54">
        <v>250</v>
      </c>
      <c r="BS227">
        <v>2.5</v>
      </c>
      <c r="CX227">
        <v>1.3</v>
      </c>
      <c r="DE227">
        <v>37.5</v>
      </c>
      <c r="DF227">
        <v>26.3</v>
      </c>
      <c r="DG227">
        <v>0.8</v>
      </c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223</v>
      </c>
      <c r="N228">
        <v>5</v>
      </c>
      <c r="AT228">
        <v>14.5</v>
      </c>
      <c r="AU228">
        <v>11.3</v>
      </c>
      <c r="BP228" s="54">
        <v>250</v>
      </c>
      <c r="CZ228">
        <v>1</v>
      </c>
      <c r="DE228">
        <v>37.5</v>
      </c>
      <c r="DF228">
        <v>26.3</v>
      </c>
      <c r="DG228">
        <v>0.8</v>
      </c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227</v>
      </c>
      <c r="N229">
        <v>2</v>
      </c>
      <c r="W229">
        <v>22.6</v>
      </c>
      <c r="AR229">
        <v>71.3</v>
      </c>
      <c r="AT229">
        <v>7.5</v>
      </c>
      <c r="AU229">
        <v>12</v>
      </c>
      <c r="BP229" s="54">
        <v>250</v>
      </c>
      <c r="CZ229">
        <v>1</v>
      </c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231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15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327</v>
      </c>
      <c r="N231">
        <v>2</v>
      </c>
      <c r="AR231">
        <v>71.5</v>
      </c>
      <c r="AT231">
        <v>7.5</v>
      </c>
      <c r="AU231">
        <v>13.5</v>
      </c>
      <c r="BP231" s="54">
        <v>250</v>
      </c>
      <c r="CB231">
        <v>50</v>
      </c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228</v>
      </c>
      <c r="N232">
        <v>2</v>
      </c>
      <c r="AR232">
        <v>71.5</v>
      </c>
      <c r="AT232">
        <v>7.5</v>
      </c>
      <c r="AU232">
        <v>13.5</v>
      </c>
      <c r="BP232" s="54">
        <v>250</v>
      </c>
      <c r="BW232" s="54"/>
      <c r="BX232" s="54"/>
      <c r="BY232" s="54"/>
      <c r="BZ232" s="54"/>
      <c r="CA232" s="54"/>
      <c r="CB232" s="54">
        <v>22.5</v>
      </c>
      <c r="CC232" s="54"/>
      <c r="CD232" s="54"/>
      <c r="CE232" s="54"/>
      <c r="CF232" s="54"/>
      <c r="CG232" s="54"/>
      <c r="CH232" s="54"/>
      <c r="CI232" s="54"/>
      <c r="CJ232" s="54"/>
      <c r="CZ232">
        <v>0.8</v>
      </c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334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2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Z233">
        <v>0.8</v>
      </c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330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3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>
        <v>6.1</v>
      </c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106</v>
      </c>
      <c r="AS234" s="54"/>
      <c r="AT234" s="54">
        <v>37.5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150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6.1</v>
      </c>
      <c r="CC234" s="54"/>
      <c r="CD234" s="54"/>
      <c r="CE234" s="54"/>
      <c r="CF234" s="54"/>
      <c r="CG234" s="54"/>
      <c r="CH234" s="54"/>
      <c r="CI234" s="54"/>
      <c r="CW234">
        <v>0.8</v>
      </c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346</v>
      </c>
      <c r="U235">
        <v>0.1</v>
      </c>
      <c r="AF235">
        <v>45</v>
      </c>
      <c r="BP235" s="54">
        <v>150</v>
      </c>
      <c r="DV235">
        <v>75</v>
      </c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309</v>
      </c>
      <c r="AM236">
        <v>22.5</v>
      </c>
      <c r="BP236" s="54">
        <v>150</v>
      </c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218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22.5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>
        <v>77.7</v>
      </c>
      <c r="CC237" s="54"/>
      <c r="CD237" s="54"/>
      <c r="CE237" s="54"/>
      <c r="CF237" s="54"/>
      <c r="CG237" s="54"/>
      <c r="CH237" s="54"/>
      <c r="CI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336</v>
      </c>
      <c r="C238">
        <v>96.6</v>
      </c>
      <c r="K238">
        <v>1.6</v>
      </c>
      <c r="N238">
        <v>4</v>
      </c>
      <c r="O238">
        <v>28.5</v>
      </c>
      <c r="W238">
        <v>1.6</v>
      </c>
      <c r="AR238">
        <v>150</v>
      </c>
      <c r="AT238">
        <v>12</v>
      </c>
      <c r="AU238">
        <v>13.4</v>
      </c>
      <c r="BP238" s="54">
        <v>200</v>
      </c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413</v>
      </c>
      <c r="C239" s="54">
        <v>154.9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>
        <v>0.1</v>
      </c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>
        <v>11.9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357</v>
      </c>
      <c r="C240" s="54"/>
      <c r="D240" s="54"/>
      <c r="E240" s="54">
        <v>133.8</v>
      </c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11.9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100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356</v>
      </c>
      <c r="C241" s="54"/>
      <c r="D241" s="54"/>
      <c r="E241" s="54"/>
      <c r="F241" s="54"/>
      <c r="G241" s="54"/>
      <c r="H241" s="54"/>
      <c r="I241" s="54">
        <v>134.3</v>
      </c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23.8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100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358</v>
      </c>
      <c r="N242">
        <v>4.5</v>
      </c>
      <c r="AX242">
        <v>5</v>
      </c>
      <c r="BP242" s="54">
        <v>100</v>
      </c>
      <c r="BR242">
        <v>20</v>
      </c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288</v>
      </c>
      <c r="C243" s="54"/>
      <c r="D243" s="54"/>
      <c r="E243" s="54"/>
      <c r="F243" s="54"/>
      <c r="G243" s="54"/>
      <c r="H243" s="54"/>
      <c r="I243" s="54">
        <v>116</v>
      </c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>
        <v>0.1</v>
      </c>
      <c r="V243" s="54"/>
      <c r="W243" s="54">
        <v>2</v>
      </c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100</v>
      </c>
      <c r="BQ243" s="54"/>
      <c r="BR243" s="54"/>
      <c r="BS243" s="54"/>
      <c r="BT243" s="54">
        <v>2.5</v>
      </c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369</v>
      </c>
      <c r="C244" s="54"/>
      <c r="D244" s="54"/>
      <c r="E244" s="54"/>
      <c r="F244" s="54"/>
      <c r="G244" s="54"/>
      <c r="H244" s="54"/>
      <c r="I244" s="54">
        <v>126</v>
      </c>
      <c r="J244" s="54"/>
      <c r="K244" s="54"/>
      <c r="L244" s="54"/>
      <c r="M244" s="54"/>
      <c r="N244" s="54">
        <v>5</v>
      </c>
      <c r="O244" s="54"/>
      <c r="P244" s="54"/>
      <c r="Q244" s="54"/>
      <c r="R244" s="54"/>
      <c r="S244" s="54"/>
      <c r="T244" s="54"/>
      <c r="U244" s="54"/>
      <c r="V244" s="54"/>
      <c r="W244" s="54">
        <v>10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100</v>
      </c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370</v>
      </c>
      <c r="BC245">
        <v>50</v>
      </c>
      <c r="BP245" s="54">
        <v>50</v>
      </c>
      <c r="CD245">
        <v>50</v>
      </c>
      <c r="CF245">
        <v>50</v>
      </c>
      <c r="CH245">
        <v>50</v>
      </c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416</v>
      </c>
      <c r="BB246">
        <v>50</v>
      </c>
      <c r="BP246" s="54">
        <v>50</v>
      </c>
      <c r="CC246">
        <v>50</v>
      </c>
      <c r="CE246">
        <v>50</v>
      </c>
      <c r="CG246">
        <v>50</v>
      </c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310</v>
      </c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391</v>
      </c>
      <c r="C248" s="54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390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0.8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>
        <v>200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389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120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0.6</v>
      </c>
      <c r="BJ250" s="54"/>
      <c r="BK250" s="54"/>
      <c r="BL250" s="54"/>
      <c r="BM250" s="54">
        <v>0.6</v>
      </c>
      <c r="BN250" s="54"/>
      <c r="BO250" s="54"/>
      <c r="BP250" s="54">
        <v>200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O250">
        <v>0.3</v>
      </c>
      <c r="DD250">
        <v>0.2</v>
      </c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555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>
        <v>2.4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P251">
        <v>0.3</v>
      </c>
      <c r="DE251">
        <v>0.2</v>
      </c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276</v>
      </c>
      <c r="C252" s="54"/>
      <c r="D252" s="54"/>
      <c r="E252" s="54">
        <v>123.4</v>
      </c>
      <c r="F252" s="54"/>
      <c r="G252" s="54"/>
      <c r="H252" s="54"/>
      <c r="I252" s="54"/>
      <c r="J252" s="54"/>
      <c r="K252" s="54"/>
      <c r="L252" s="54"/>
      <c r="M252" s="54"/>
      <c r="N252" s="54">
        <v>5.3</v>
      </c>
      <c r="O252" s="54"/>
      <c r="P252" s="54"/>
      <c r="Q252" s="54"/>
      <c r="R252" s="54"/>
      <c r="S252" s="54"/>
      <c r="T252" s="54"/>
      <c r="U252" s="54"/>
      <c r="V252" s="54"/>
      <c r="W252" s="54">
        <v>1.8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84</v>
      </c>
      <c r="AU252" s="54"/>
      <c r="AV252" s="54"/>
      <c r="AW252" s="54"/>
      <c r="AX252" s="54">
        <v>2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175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276</v>
      </c>
      <c r="E253">
        <v>123.4</v>
      </c>
      <c r="N253">
        <v>5.3</v>
      </c>
      <c r="W253">
        <v>1.8</v>
      </c>
      <c r="AT253">
        <v>84</v>
      </c>
      <c r="AX253">
        <v>2</v>
      </c>
      <c r="BP253" s="54">
        <v>175</v>
      </c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407</v>
      </c>
      <c r="C254">
        <v>98.8</v>
      </c>
      <c r="N254">
        <v>7.5</v>
      </c>
      <c r="AT254">
        <v>15</v>
      </c>
      <c r="BP254" s="54">
        <v>250</v>
      </c>
      <c r="CB254">
        <v>120</v>
      </c>
      <c r="DE254">
        <v>47.5</v>
      </c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283</v>
      </c>
      <c r="E255">
        <v>121.5</v>
      </c>
      <c r="N255">
        <v>9</v>
      </c>
      <c r="AT255">
        <v>18</v>
      </c>
      <c r="BP255" s="54">
        <v>300</v>
      </c>
      <c r="CB255">
        <v>64.8</v>
      </c>
      <c r="DE255">
        <v>57</v>
      </c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368</v>
      </c>
      <c r="C256" s="54">
        <v>42.2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5</v>
      </c>
      <c r="O256" s="54"/>
      <c r="P256" s="54"/>
      <c r="Q256" s="54"/>
      <c r="R256" s="54"/>
      <c r="S256" s="54"/>
      <c r="T256" s="54"/>
      <c r="U256" s="54"/>
      <c r="V256" s="54"/>
      <c r="W256" s="54">
        <v>5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2.5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15.6</v>
      </c>
      <c r="AU256" s="54"/>
      <c r="AV256" s="54"/>
      <c r="AW256" s="54"/>
      <c r="AX256" s="54"/>
      <c r="AY256" s="54"/>
      <c r="AZ256" s="54">
        <v>71.9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250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277</v>
      </c>
      <c r="E257">
        <v>126.9</v>
      </c>
      <c r="N257">
        <v>5.4</v>
      </c>
      <c r="X257">
        <v>7.2</v>
      </c>
      <c r="AH257">
        <v>3.6</v>
      </c>
      <c r="AT257">
        <v>21.6</v>
      </c>
      <c r="AZ257">
        <v>90</v>
      </c>
      <c r="BP257" s="54">
        <v>180</v>
      </c>
      <c r="DA257">
        <v>0.2</v>
      </c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314</v>
      </c>
      <c r="L258">
        <v>2.4</v>
      </c>
      <c r="N258">
        <v>60</v>
      </c>
      <c r="W258">
        <v>134</v>
      </c>
      <c r="BP258" s="54">
        <v>100</v>
      </c>
      <c r="CP258">
        <v>13.7</v>
      </c>
      <c r="DT258">
        <v>12.5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331</v>
      </c>
      <c r="C259" s="54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373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v>33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>
        <v>17.6</v>
      </c>
      <c r="AI260" s="54"/>
      <c r="AJ260" s="54"/>
      <c r="AK260" s="54"/>
      <c r="AL260" s="54"/>
      <c r="AM260" s="54"/>
      <c r="AN260" s="54"/>
      <c r="AO260" s="54"/>
      <c r="AP260" s="54"/>
      <c r="AQ260" s="54">
        <v>100</v>
      </c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100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290</v>
      </c>
      <c r="AQ261">
        <v>114</v>
      </c>
      <c r="BP261" s="54">
        <v>100</v>
      </c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300</v>
      </c>
      <c r="R262">
        <v>15</v>
      </c>
      <c r="S262">
        <v>60</v>
      </c>
      <c r="U262">
        <v>0.1</v>
      </c>
      <c r="X262">
        <v>1.5</v>
      </c>
      <c r="AH262">
        <v>7.5</v>
      </c>
      <c r="AQ262">
        <v>120</v>
      </c>
      <c r="BP262" s="54">
        <v>150</v>
      </c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301</v>
      </c>
      <c r="M263">
        <v>4</v>
      </c>
      <c r="AH263">
        <v>7.5</v>
      </c>
      <c r="AQ263">
        <v>100</v>
      </c>
      <c r="BP263" s="54">
        <v>150</v>
      </c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293</v>
      </c>
      <c r="P264">
        <v>25</v>
      </c>
      <c r="AH264">
        <v>2.5</v>
      </c>
      <c r="BP264" s="54">
        <v>25</v>
      </c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351</v>
      </c>
      <c r="C265" s="54"/>
      <c r="D265" s="54"/>
      <c r="E265" s="54"/>
      <c r="F265" s="54"/>
      <c r="G265" s="54"/>
      <c r="H265" s="54">
        <v>21.5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>
        <v>0.2</v>
      </c>
      <c r="V265" s="54"/>
      <c r="W265" s="54">
        <v>27</v>
      </c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100</v>
      </c>
      <c r="BQ265" s="54"/>
      <c r="BR265" s="54"/>
      <c r="BS265" s="54"/>
      <c r="BT265" s="54"/>
      <c r="BU265" s="54"/>
      <c r="BV265" s="54">
        <v>40.8</v>
      </c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329</v>
      </c>
      <c r="C266" s="54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426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547</v>
      </c>
      <c r="E268">
        <v>174</v>
      </c>
      <c r="N268">
        <v>4.3</v>
      </c>
      <c r="R268">
        <v>22.8</v>
      </c>
      <c r="BP268">
        <v>79.9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548</v>
      </c>
      <c r="C269" s="54"/>
      <c r="D269" s="54"/>
      <c r="E269" s="54">
        <v>141.5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12.6</v>
      </c>
      <c r="AU269" s="54">
        <v>12.6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552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549</v>
      </c>
      <c r="C270" s="54"/>
      <c r="E270">
        <v>153</v>
      </c>
      <c r="BA270">
        <v>1.8</v>
      </c>
      <c r="BJ270">
        <v>0.3</v>
      </c>
      <c r="BP270">
        <v>90</v>
      </c>
      <c r="EP270">
        <v>15.8</v>
      </c>
      <c r="EQ270">
        <v>1.4</v>
      </c>
    </row>
    <row r="271" spans="2:120" ht="22.5" customHeight="1">
      <c r="B271" s="54" t="s">
        <v>550</v>
      </c>
      <c r="C271" s="54"/>
      <c r="E271">
        <v>124.5</v>
      </c>
      <c r="N271">
        <v>9</v>
      </c>
      <c r="AR271">
        <v>237</v>
      </c>
      <c r="AT271">
        <v>27</v>
      </c>
      <c r="AU271">
        <v>30</v>
      </c>
      <c r="AX271">
        <v>15</v>
      </c>
      <c r="BJ271">
        <v>0.9</v>
      </c>
      <c r="BP271">
        <v>300</v>
      </c>
      <c r="DA271">
        <v>0.3</v>
      </c>
      <c r="DP271">
        <v>0.6</v>
      </c>
    </row>
    <row r="272" spans="2:146" ht="22.5" customHeight="1">
      <c r="B272" s="54" t="s">
        <v>551</v>
      </c>
      <c r="C272" s="54"/>
      <c r="K272">
        <v>3.2</v>
      </c>
      <c r="N272">
        <v>0.4</v>
      </c>
      <c r="S272">
        <v>56</v>
      </c>
      <c r="U272">
        <v>9.6</v>
      </c>
      <c r="W272">
        <v>80</v>
      </c>
      <c r="AH272">
        <v>5</v>
      </c>
      <c r="BK272">
        <v>4.4</v>
      </c>
      <c r="BP272">
        <v>150</v>
      </c>
      <c r="EP272">
        <v>28</v>
      </c>
    </row>
    <row r="273" spans="2:68" ht="22.5" customHeight="1">
      <c r="B273" s="54" t="s">
        <v>553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556</v>
      </c>
      <c r="C274" s="54"/>
      <c r="K274">
        <v>5</v>
      </c>
      <c r="R274">
        <v>25</v>
      </c>
      <c r="S274">
        <v>40</v>
      </c>
      <c r="U274">
        <v>0.1</v>
      </c>
      <c r="AC274">
        <v>58.8</v>
      </c>
      <c r="AH274">
        <v>12.3</v>
      </c>
      <c r="BM274">
        <v>0.3</v>
      </c>
      <c r="BP274">
        <v>250</v>
      </c>
    </row>
    <row r="275" spans="2:68" ht="22.5" customHeight="1">
      <c r="B275" s="54" t="s">
        <v>557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558</v>
      </c>
      <c r="C276" s="54"/>
      <c r="D276">
        <v>145</v>
      </c>
      <c r="N276">
        <v>8.8</v>
      </c>
      <c r="AC276">
        <v>56.3</v>
      </c>
      <c r="AT276">
        <v>10</v>
      </c>
      <c r="AU276">
        <v>16.3</v>
      </c>
      <c r="AX276">
        <v>3</v>
      </c>
      <c r="BP276">
        <v>250</v>
      </c>
    </row>
    <row r="277" spans="2:68" ht="22.5" customHeight="1">
      <c r="B277" s="54" t="s">
        <v>561</v>
      </c>
      <c r="C277" s="54"/>
      <c r="U277">
        <v>1</v>
      </c>
      <c r="BP277">
        <v>1</v>
      </c>
    </row>
    <row r="278" spans="2:68" ht="22.5" customHeight="1">
      <c r="B278" s="54" t="s">
        <v>562</v>
      </c>
      <c r="C278" s="54"/>
      <c r="T278">
        <v>15</v>
      </c>
      <c r="BP278">
        <v>15</v>
      </c>
    </row>
    <row r="279" spans="2:74" ht="22.5" customHeight="1">
      <c r="B279" s="54" t="s">
        <v>564</v>
      </c>
      <c r="C279" s="54"/>
      <c r="K279">
        <v>8</v>
      </c>
      <c r="BP279">
        <v>150</v>
      </c>
      <c r="BV279">
        <v>60</v>
      </c>
    </row>
    <row r="280" spans="2:68" ht="22.5" customHeight="1">
      <c r="B280" s="54" t="s">
        <v>565</v>
      </c>
      <c r="C280" s="54"/>
      <c r="K280">
        <v>8</v>
      </c>
      <c r="AB280">
        <v>60</v>
      </c>
      <c r="BP280">
        <v>150</v>
      </c>
    </row>
    <row r="281" spans="2:73" ht="22.5" customHeight="1">
      <c r="B281" s="54" t="s">
        <v>567</v>
      </c>
      <c r="C281" s="54"/>
      <c r="K281">
        <v>8</v>
      </c>
      <c r="BP281">
        <v>150</v>
      </c>
      <c r="BU281">
        <v>60</v>
      </c>
    </row>
    <row r="282" spans="2:3" ht="22.5" customHeight="1">
      <c r="B282" s="54">
        <v>0</v>
      </c>
      <c r="C282" s="54"/>
    </row>
    <row r="283" spans="2:3" ht="22.5" customHeight="1">
      <c r="B283" s="54">
        <v>0</v>
      </c>
      <c r="C283" s="54"/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"/>
  <sheetViews>
    <sheetView zoomScalePageLayoutView="0" workbookViewId="0" topLeftCell="A1">
      <selection activeCell="A21" sqref="A1:R21"/>
    </sheetView>
  </sheetViews>
  <sheetFormatPr defaultColWidth="9.140625" defaultRowHeight="12.75"/>
  <sheetData>
    <row r="1" spans="1:18" ht="20.25">
      <c r="A1" s="258" t="s">
        <v>488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20.25">
      <c r="A2" s="258" t="s">
        <v>502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08"/>
      <c r="Q2" s="108"/>
      <c r="R2" s="108"/>
    </row>
    <row r="3" spans="1:18" ht="20.25">
      <c r="A3" s="258" t="s">
        <v>503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108"/>
    </row>
    <row r="4" spans="1:18" ht="20.25">
      <c r="A4" s="258" t="s">
        <v>510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20.25">
      <c r="A5" s="257" t="s">
        <v>504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108"/>
      <c r="R5" s="108"/>
    </row>
    <row r="6" spans="1:16" s="108" customFormat="1" ht="20.25">
      <c r="A6" s="257" t="s">
        <v>506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18" ht="20.25">
      <c r="A7" s="257" t="s">
        <v>507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08"/>
      <c r="R7" s="108"/>
    </row>
    <row r="8" spans="1:18" ht="20.25">
      <c r="A8" s="257" t="s">
        <v>171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108"/>
      <c r="R8" s="108"/>
    </row>
    <row r="9" spans="1:18" ht="20.25">
      <c r="A9" s="257" t="s">
        <v>508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108"/>
      <c r="R9" s="108"/>
    </row>
    <row r="10" spans="1:18" ht="20.25">
      <c r="A10" s="257" t="s">
        <v>509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108"/>
      <c r="R10" s="108"/>
    </row>
    <row r="11" spans="1:18" ht="20.25">
      <c r="A11" s="257" t="s">
        <v>516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108"/>
      <c r="R11" s="108"/>
    </row>
    <row r="12" spans="1:18" ht="20.25">
      <c r="A12" s="257" t="s">
        <v>503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108"/>
      <c r="R12" s="108"/>
    </row>
    <row r="13" spans="1:16" ht="20.25">
      <c r="A13" s="257" t="s">
        <v>517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</row>
    <row r="14" spans="1:16" ht="20.25">
      <c r="A14" s="257" t="s">
        <v>518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</row>
    <row r="15" spans="1:16" ht="20.25">
      <c r="A15" s="257" t="s">
        <v>520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ht="20.25">
      <c r="A16" s="257" t="s">
        <v>521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1:16" ht="20.25">
      <c r="A17" s="257" t="s">
        <v>522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6" ht="20.25">
      <c r="A18" s="257" t="s">
        <v>523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ht="20.25">
      <c r="A19" s="257" t="s">
        <v>524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ht="20.25">
      <c r="A20" s="257" t="s">
        <v>528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ht="20.25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</sheetData>
  <sheetProtection/>
  <mergeCells count="21">
    <mergeCell ref="A1:R1"/>
    <mergeCell ref="A2:O2"/>
    <mergeCell ref="A3:Q3"/>
    <mergeCell ref="A4:R4"/>
    <mergeCell ref="A5:P5"/>
    <mergeCell ref="A6:P6"/>
    <mergeCell ref="A7:P7"/>
    <mergeCell ref="A8:P8"/>
    <mergeCell ref="A9:P9"/>
    <mergeCell ref="A10:P10"/>
    <mergeCell ref="A11:P11"/>
    <mergeCell ref="A12:P12"/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2022-02-18T08:44:03Z</cp:lastPrinted>
  <dcterms:created xsi:type="dcterms:W3CDTF">1996-10-08T23:32:33Z</dcterms:created>
  <dcterms:modified xsi:type="dcterms:W3CDTF">2022-02-19T09:39:31Z</dcterms:modified>
  <cp:category/>
  <cp:version/>
  <cp:contentType/>
  <cp:contentStatus/>
</cp:coreProperties>
</file>